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vDUTQCzc5s/C9rqwL5jeNqt/mXSSLiUGYjxPepUJ/3nrIbhLaVxo8kk3qeJ8f2drWQf7zWmk1YLxRzOQrNL6Q==" workbookSaltValue="f3eRhukEqfyy4eAZb37wm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23" i="14"/>
  <c r="G30" i="14"/>
  <c r="BF17" i="8" l="1"/>
  <c r="AY14" i="8"/>
  <c r="V25" i="16"/>
  <c r="L9" i="2"/>
  <c r="L19" i="2"/>
  <c r="X10" i="21"/>
  <c r="L25" i="2"/>
  <c r="S17" i="17"/>
  <c r="L10" i="2"/>
  <c r="BH22" i="11"/>
  <c r="BL17" i="11"/>
  <c r="BJ17" i="11"/>
  <c r="AO25" i="17"/>
  <c r="BM21" i="11"/>
  <c r="BG17" i="11"/>
  <c r="BI29" i="11"/>
  <c r="S10" i="17"/>
  <c r="AO29" i="17"/>
  <c r="AQ10" i="21"/>
  <c r="BH10" i="11"/>
  <c r="Q18" i="17"/>
  <c r="AZ11" i="11"/>
  <c r="AZ12" i="11"/>
  <c r="AA29" i="16"/>
  <c r="BV9" i="16"/>
  <c r="BW21" i="20"/>
  <c r="BU13" i="17"/>
  <c r="BW28" i="20"/>
  <c r="S21" i="17"/>
  <c r="BW11" i="20"/>
  <c r="BV16" i="16"/>
  <c r="BW12" i="20"/>
  <c r="BV12" i="16"/>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V13" i="16"/>
  <c r="BV28" i="16"/>
  <c r="BU25" i="17"/>
  <c r="BG21" i="11"/>
  <c r="AP18" i="20"/>
  <c r="AP26" i="21"/>
  <c r="BG19" i="11"/>
  <c r="V20" i="11"/>
  <c r="AP16" i="20"/>
  <c r="BJ16" i="11"/>
  <c r="V9" i="11"/>
  <c r="BM12" i="11"/>
  <c r="V11" i="11"/>
  <c r="BK29" i="11"/>
  <c r="BG20" i="11"/>
  <c r="BF28" i="11"/>
  <c r="BH16" i="16"/>
  <c r="BF13" i="11"/>
  <c r="BH9" i="16"/>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F30" i="2" s="1"/>
  <c r="H28" i="7"/>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Q17"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<sst xmlns="http://schemas.openxmlformats.org/spreadsheetml/2006/main" count="2682" uniqueCount="1192">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</sst>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jo2gdCb6PQFD8Q3ExKau5KAsYOSV1QlrSqnymnR+/YqNMkh4UT7kFJV2/l/VUZO/XJ8ayTfyfWeyKU7Ermg4Q==" saltValue="ji8r9kVEP/ktoBSo4NGM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6</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6.2971014492753623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241</v>
      </c>
      <c r="D17" s="239">
        <f>IF(ISNUMBER(IF(D_I="SI",Datos!I17,Datos!I17+Datos!AC17)),IF(D_I="SI",Datos!I17,Datos!I17+Datos!AC17)," - ")</f>
        <v>224</v>
      </c>
      <c r="E17" s="240">
        <f>IF(ISNUMBER(IF(D_I="SI",Datos!J17,Datos!J17+Datos!AD17)),IF(D_I="SI",Datos!J17,Datos!J17+Datos!AD17)," - ")</f>
        <v>626</v>
      </c>
      <c r="F17" s="240">
        <f>IF(ISNUMBER(IF(D_I="SI",Datos!K17,Datos!K17+Datos!AE17)),IF(D_I="SI",Datos!K17,Datos!K17+Datos!AE17)," - ")</f>
        <v>616</v>
      </c>
      <c r="G17" s="1390" t="str">
        <f>IF(Datos!E17&lt;&gt;"",Datos!E17,Datos!D17)</f>
        <v>04</v>
      </c>
      <c r="H17" s="241">
        <f>IF(ISNUMBER(IF(D_I="SI",Datos!L17,Datos!L17+Datos!AF17)),IF(D_I="SI",Datos!L17,Datos!L17+Datos!AF17)," - ")</f>
        <v>251</v>
      </c>
      <c r="I17" s="1400" t="str">
        <f>IF(ISNUMBER(Datos!AS17/Datos!BM17),Datos!AS17/Datos!BM17," - ")</f>
        <v xml:space="preserve"> - </v>
      </c>
      <c r="J17" s="1401">
        <f>IF(ISNUMBER(Datos!BY17/Datos!CN17),Datos!BY17/Datos!CN17," - ")</f>
        <v>0</v>
      </c>
      <c r="K17" s="244">
        <f t="shared" si="3"/>
        <v>4.1493775933609957E-2</v>
      </c>
      <c r="L17" s="1402">
        <f>IF(ISNUMBER(NºAsuntos!I17/NºAsuntos!G17),(NºAsuntos!I17/NºAsuntos!G17)*11," - ")</f>
        <v>4.4821428571428577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55</v>
      </c>
      <c r="F18" s="240">
        <f>IF(ISNUMBER(IF(D_I="SI",Datos!K18,Datos!K18+Datos!AE18)),IF(D_I="SI",Datos!K18,Datos!K18+Datos!AE18)," - ")</f>
        <v>51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2.8039215686274508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v>
      </c>
      <c r="D23" s="1407">
        <f>SUBTOTAL(9,D16:D22)</f>
        <v>233</v>
      </c>
      <c r="E23" s="1408">
        <f>SUBTOTAL(9,E16:E22)</f>
        <v>681</v>
      </c>
      <c r="F23" s="1408">
        <f>SUBTOTAL(9,F16:F22)</f>
        <v>667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251</v>
      </c>
      <c r="D31" s="1435">
        <f>SUBTOTAL(9,D9:D30)</f>
        <v>234</v>
      </c>
      <c r="E31" s="1436">
        <f>SUBTOTAL(9,E9:E30)</f>
        <v>686</v>
      </c>
      <c r="F31" s="1436">
        <f>SUBTOTAL(9,F9:F30)</f>
        <v>673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xLIy4eTSSyYdyxsEde0yw8cLbGhjVS8s3NiwULG6DbaXL1lKdQPjfg63Oh8GZ4OIQlZtGdOiUQWtygVNod9q6A==" saltValue="C7YtxsNRvBvyHJ5ZzRtNt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HtGpHEuA0+cbcrdQRCnFjBemvmpDz9g30pLiRZiUZ+2E86V17t3SwXjCfh4quxlpRRH35zWlIJsSBscXEfiVQ==" saltValue="SyrkqeEsbsgxstZWfMS8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6</v>
      </c>
      <c r="L10" s="194">
        <v>0</v>
      </c>
      <c r="M10" s="194">
        <v>3</v>
      </c>
      <c r="N10" s="194">
        <v>1</v>
      </c>
      <c r="O10" s="194">
        <v>1</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485</v>
      </c>
      <c r="J12" s="196">
        <v>731</v>
      </c>
      <c r="K12" s="196">
        <v>766</v>
      </c>
      <c r="L12" s="196">
        <v>450</v>
      </c>
      <c r="M12" s="196">
        <v>205</v>
      </c>
      <c r="N12" s="196">
        <v>309</v>
      </c>
      <c r="O12" s="194">
        <v>461</v>
      </c>
      <c r="P12" s="196">
        <v>187</v>
      </c>
      <c r="Q12" s="196">
        <v>375</v>
      </c>
      <c r="R12" s="196">
        <v>768</v>
      </c>
      <c r="S12" s="196">
        <v>553</v>
      </c>
      <c r="T12" s="196">
        <v>662</v>
      </c>
      <c r="U12" s="196">
        <v>686</v>
      </c>
      <c r="V12" s="196">
        <v>485</v>
      </c>
      <c r="W12" s="196">
        <v>193</v>
      </c>
      <c r="X12" s="202">
        <v>307</v>
      </c>
      <c r="Y12" s="204">
        <v>30</v>
      </c>
      <c r="Z12" s="194">
        <v>56</v>
      </c>
      <c r="AA12" s="194">
        <v>62</v>
      </c>
      <c r="AB12" s="194">
        <v>24</v>
      </c>
      <c r="AC12" s="196">
        <v>0</v>
      </c>
      <c r="AD12" s="196">
        <v>0</v>
      </c>
      <c r="AE12" s="196">
        <v>0</v>
      </c>
      <c r="AF12" s="202">
        <v>0</v>
      </c>
      <c r="AG12" s="215">
        <v>32</v>
      </c>
      <c r="AH12" s="196">
        <v>64</v>
      </c>
      <c r="AI12" s="196">
        <v>66</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585</v>
      </c>
      <c r="AZ12" s="137">
        <f t="shared" si="1"/>
        <v>726</v>
      </c>
      <c r="BA12" s="137">
        <f t="shared" si="1"/>
        <v>752</v>
      </c>
      <c r="BB12" s="137">
        <f t="shared" si="1"/>
        <v>515</v>
      </c>
      <c r="BC12" s="135">
        <f>IF(ISNUMBER(X12),X12," - ")</f>
        <v>307</v>
      </c>
      <c r="BD12" s="136">
        <f t="shared" si="2"/>
        <v>1.0358126721763086</v>
      </c>
      <c r="BE12" s="137">
        <f t="shared" si="3"/>
        <v>0.68484042553191493</v>
      </c>
      <c r="BF12" s="137">
        <f t="shared" si="4"/>
        <v>0.40824468085106386</v>
      </c>
      <c r="BG12" s="209">
        <f t="shared" si="5"/>
        <v>1.7433510638297873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486</v>
      </c>
      <c r="J14" s="197">
        <f t="shared" si="7"/>
        <v>736</v>
      </c>
      <c r="K14" s="197">
        <f t="shared" si="7"/>
        <v>772</v>
      </c>
      <c r="L14" s="197">
        <f t="shared" si="7"/>
        <v>450</v>
      </c>
      <c r="M14" s="197">
        <f t="shared" si="7"/>
        <v>208</v>
      </c>
      <c r="N14" s="197">
        <f t="shared" si="7"/>
        <v>310</v>
      </c>
      <c r="O14" s="197">
        <f t="shared" si="7"/>
        <v>462</v>
      </c>
      <c r="P14" s="197">
        <f t="shared" si="7"/>
        <v>187</v>
      </c>
      <c r="Q14" s="197">
        <f t="shared" si="7"/>
        <v>375</v>
      </c>
      <c r="R14" s="197">
        <f t="shared" si="7"/>
        <v>768</v>
      </c>
      <c r="S14" s="197">
        <f t="shared" si="7"/>
        <v>553</v>
      </c>
      <c r="T14" s="197">
        <f t="shared" si="7"/>
        <v>663</v>
      </c>
      <c r="U14" s="197">
        <f t="shared" si="7"/>
        <v>686</v>
      </c>
      <c r="V14" s="197">
        <f t="shared" si="7"/>
        <v>486</v>
      </c>
      <c r="W14" s="197">
        <f t="shared" si="7"/>
        <v>193</v>
      </c>
      <c r="X14" s="197">
        <f t="shared" si="7"/>
        <v>307</v>
      </c>
      <c r="Y14" s="197">
        <f t="shared" si="7"/>
        <v>30</v>
      </c>
      <c r="Z14" s="197">
        <f t="shared" si="7"/>
        <v>56</v>
      </c>
      <c r="AA14" s="197">
        <f t="shared" si="7"/>
        <v>62</v>
      </c>
      <c r="AB14" s="197">
        <f t="shared" si="7"/>
        <v>24</v>
      </c>
      <c r="AC14" s="197">
        <f t="shared" si="7"/>
        <v>0</v>
      </c>
      <c r="AD14" s="197">
        <f t="shared" si="7"/>
        <v>0</v>
      </c>
      <c r="AE14" s="197">
        <f t="shared" si="7"/>
        <v>0</v>
      </c>
      <c r="AF14" s="197">
        <f>SUBTOTAL(9,AF9:AF13)</f>
        <v>0</v>
      </c>
      <c r="AG14" s="197">
        <f t="shared" ref="AG14:AT14" si="8">SUBTOTAL(9,AG8:AG13)</f>
        <v>32</v>
      </c>
      <c r="AH14" s="197">
        <f t="shared" si="8"/>
        <v>64</v>
      </c>
      <c r="AI14" s="197">
        <f t="shared" si="8"/>
        <v>66</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585</v>
      </c>
      <c r="AZ14" s="197">
        <f>SUBTOTAL(9,AZ8:AZ13)</f>
        <v>727</v>
      </c>
      <c r="BA14" s="197">
        <f>SUBTOTAL(9,BA8:BA13)</f>
        <v>752</v>
      </c>
      <c r="BB14" s="197">
        <f>SUBTOTAL(9,BB8:BB13)</f>
        <v>516</v>
      </c>
      <c r="BC14" s="197">
        <f>SUBTOTAL(9,BC8:BC13)</f>
        <v>307</v>
      </c>
      <c r="BD14" s="219">
        <f>IF(ISNUMBER(BA14/AZ14),BA14/AZ14," - ")</f>
        <v>1.0343878954607979</v>
      </c>
      <c r="BE14" s="220">
        <f>IF(ISNUMBER(BB14/BA14),BB14/BA14, " - ")</f>
        <v>0.68617021276595747</v>
      </c>
      <c r="BF14" s="220">
        <f>IF(ISNUMBER(BC14/BA14),BC14/BA14, " - ")</f>
        <v>0.40824468085106386</v>
      </c>
      <c r="BG14" s="221">
        <f>IF(ISNUMBER((AY14+AZ14)/BA14),(AY14+AZ14)/BA14," - ")</f>
        <v>1.7446808510638299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224</v>
      </c>
      <c r="J17" s="196">
        <v>626</v>
      </c>
      <c r="K17" s="196">
        <v>616</v>
      </c>
      <c r="L17" s="196">
        <v>251</v>
      </c>
      <c r="M17" s="196">
        <v>73</v>
      </c>
      <c r="N17" s="196">
        <v>358</v>
      </c>
      <c r="O17" s="194">
        <v>20</v>
      </c>
      <c r="P17" s="196">
        <v>29</v>
      </c>
      <c r="Q17" s="196">
        <v>38</v>
      </c>
      <c r="R17" s="196">
        <v>33</v>
      </c>
      <c r="S17" s="196">
        <v>202</v>
      </c>
      <c r="T17" s="196">
        <v>600</v>
      </c>
      <c r="U17" s="196">
        <v>580</v>
      </c>
      <c r="V17" s="196">
        <v>224</v>
      </c>
      <c r="W17" s="196">
        <v>89</v>
      </c>
      <c r="X17" s="202">
        <v>293</v>
      </c>
      <c r="Y17" s="215">
        <v>0</v>
      </c>
      <c r="Z17" s="196">
        <v>0</v>
      </c>
      <c r="AA17" s="196">
        <v>0</v>
      </c>
      <c r="AB17" s="196">
        <v>0</v>
      </c>
      <c r="AC17" s="196">
        <v>1</v>
      </c>
      <c r="AD17" s="196">
        <v>0</v>
      </c>
      <c r="AE17" s="196">
        <v>1</v>
      </c>
      <c r="AF17" s="202">
        <v>0</v>
      </c>
      <c r="AG17" s="215">
        <v>0</v>
      </c>
      <c r="AH17" s="196">
        <v>0</v>
      </c>
      <c r="AI17" s="196">
        <v>0</v>
      </c>
      <c r="AJ17" s="216">
        <v>0</v>
      </c>
      <c r="AK17" s="195">
        <v>1</v>
      </c>
      <c r="AL17" s="196">
        <v>2</v>
      </c>
      <c r="AM17" s="196">
        <v>2</v>
      </c>
      <c r="AN17" s="202">
        <v>1</v>
      </c>
      <c r="AO17" s="283">
        <v>1</v>
      </c>
      <c r="AP17" s="168">
        <v>1</v>
      </c>
      <c r="AQ17" s="168">
        <v>1</v>
      </c>
      <c r="AR17" s="168">
        <v>1</v>
      </c>
      <c r="AS17" s="381" t="s">
        <v>650</v>
      </c>
      <c r="AT17" s="216"/>
      <c r="AU17" s="215"/>
      <c r="AV17" s="216"/>
      <c r="AW17" s="215"/>
      <c r="AX17" s="216"/>
      <c r="AY17" s="136">
        <f t="shared" si="10"/>
        <v>202</v>
      </c>
      <c r="AZ17" s="137">
        <f t="shared" si="10"/>
        <v>600</v>
      </c>
      <c r="BA17" s="137">
        <f t="shared" si="10"/>
        <v>580</v>
      </c>
      <c r="BB17" s="137">
        <f t="shared" si="10"/>
        <v>224</v>
      </c>
      <c r="BC17" s="135">
        <f>IF(ISNUMBER(W17),W17," - ")</f>
        <v>89</v>
      </c>
      <c r="BD17" s="136">
        <f t="shared" ref="BD17:BD22" si="12">IF(ISNUMBER(BA17/AZ17),BA17/AZ17," - ")</f>
        <v>0.96666666666666667</v>
      </c>
      <c r="BE17" s="137">
        <f t="shared" ref="BE17:BE22" si="13">IF(ISNUMBER(BB17/BA17),BB17/BA17, " - ")</f>
        <v>0.38620689655172413</v>
      </c>
      <c r="BF17" s="137">
        <f t="shared" ref="BF17:BF22" si="14">IF(ISNUMBER(BC17/BA17),BC17/BA17, " - ")</f>
        <v>0.15344827586206897</v>
      </c>
      <c r="BG17" s="209">
        <f t="shared" si="11"/>
        <v>1.3827586206896552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55</v>
      </c>
      <c r="K18" s="196">
        <v>51</v>
      </c>
      <c r="L18" s="196">
        <v>13</v>
      </c>
      <c r="M18" s="196">
        <v>1</v>
      </c>
      <c r="N18" s="196">
        <v>36</v>
      </c>
      <c r="O18" s="196">
        <v>0</v>
      </c>
      <c r="P18" s="196">
        <v>0</v>
      </c>
      <c r="Q18" s="196">
        <v>0</v>
      </c>
      <c r="R18" s="196">
        <v>0</v>
      </c>
      <c r="S18" s="196">
        <v>17</v>
      </c>
      <c r="T18" s="196">
        <v>48</v>
      </c>
      <c r="U18" s="196">
        <v>56</v>
      </c>
      <c r="V18" s="196">
        <v>9</v>
      </c>
      <c r="W18" s="196">
        <v>4</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48</v>
      </c>
      <c r="BA18" s="139">
        <f t="shared" si="15"/>
        <v>56</v>
      </c>
      <c r="BB18" s="139">
        <f t="shared" si="15"/>
        <v>9</v>
      </c>
      <c r="BC18" s="135">
        <f>IF(ISNUMBER(W18),W18," - ")</f>
        <v>4</v>
      </c>
      <c r="BD18" s="136">
        <f>IF(ISNUMBER(BA18/AZ18),BA18/AZ18," - ")</f>
        <v>1.1666666666666667</v>
      </c>
      <c r="BE18" s="137">
        <f>IF(ISNUMBER(BB18/BA18),BB18/BA18, " - ")</f>
        <v>0.16071428571428573</v>
      </c>
      <c r="BF18" s="137">
        <f>IF(ISNUMBER(BC18/BA18),BC18/BA18, " - ")</f>
        <v>7.1428571428571425E-2</v>
      </c>
      <c r="BG18" s="209">
        <f>IF(ISNUMBER((AY18+AZ18)/BA18),(AY18+AZ18)/BA18," - ")</f>
        <v>1.1607142857142858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233</v>
      </c>
      <c r="J23" s="197">
        <f t="shared" si="21"/>
        <v>681</v>
      </c>
      <c r="K23" s="197">
        <f t="shared" si="21"/>
        <v>667</v>
      </c>
      <c r="L23" s="197">
        <f t="shared" si="21"/>
        <v>264</v>
      </c>
      <c r="M23" s="197">
        <f t="shared" si="21"/>
        <v>74</v>
      </c>
      <c r="N23" s="197">
        <f t="shared" si="21"/>
        <v>394</v>
      </c>
      <c r="O23" s="197">
        <f t="shared" si="21"/>
        <v>20</v>
      </c>
      <c r="P23" s="197">
        <f t="shared" si="21"/>
        <v>29</v>
      </c>
      <c r="Q23" s="197">
        <f t="shared" si="21"/>
        <v>38</v>
      </c>
      <c r="R23" s="197">
        <f t="shared" si="21"/>
        <v>33</v>
      </c>
      <c r="S23" s="197">
        <f t="shared" si="21"/>
        <v>219</v>
      </c>
      <c r="T23" s="197">
        <f t="shared" si="21"/>
        <v>648</v>
      </c>
      <c r="U23" s="197">
        <f t="shared" si="21"/>
        <v>636</v>
      </c>
      <c r="V23" s="197">
        <f t="shared" si="21"/>
        <v>233</v>
      </c>
      <c r="W23" s="197">
        <f t="shared" si="21"/>
        <v>93</v>
      </c>
      <c r="X23" s="197">
        <f t="shared" si="21"/>
        <v>309</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2</v>
      </c>
      <c r="AM23" s="197">
        <f t="shared" si="21"/>
        <v>2</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219</v>
      </c>
      <c r="AZ23" s="197">
        <f>SUBTOTAL(9,AZ15:AZ22)</f>
        <v>648</v>
      </c>
      <c r="BA23" s="197">
        <f>SUBTOTAL(9,BA15:BA22)</f>
        <v>636</v>
      </c>
      <c r="BB23" s="197">
        <f>SUBTOTAL(9,BB15:BB22)</f>
        <v>233</v>
      </c>
      <c r="BC23" s="197">
        <f>SUBTOTAL(9,BC15:BC22)</f>
        <v>93</v>
      </c>
      <c r="BD23" s="219">
        <f>IF(ISNUMBER(BA23/AZ23),BA23/AZ23," - ")</f>
        <v>0.98148148148148151</v>
      </c>
      <c r="BE23" s="220">
        <f>IF(ISNUMBER(BB23/BA23),BB23/BA23, " - ")</f>
        <v>0.36635220125786161</v>
      </c>
      <c r="BF23" s="220">
        <f>IF(ISNUMBER(BC23/BA23),BC23/BA23, " - ")</f>
        <v>0.14622641509433962</v>
      </c>
      <c r="BG23" s="221">
        <f>IF(ISNUMBER((AY23+AZ23)/BA23),(AY23+AZ23)/BA23," - ")</f>
        <v>1.3632075471698113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v>
      </c>
      <c r="J31" s="144">
        <f t="shared" si="36"/>
        <v>1417</v>
      </c>
      <c r="K31" s="144">
        <f t="shared" si="36"/>
        <v>1439</v>
      </c>
      <c r="L31" s="144">
        <f t="shared" si="36"/>
        <v>714</v>
      </c>
      <c r="M31" s="144">
        <f t="shared" si="36"/>
        <v>282</v>
      </c>
      <c r="N31" s="144">
        <f t="shared" si="36"/>
        <v>704</v>
      </c>
      <c r="O31" s="144">
        <f t="shared" si="36"/>
        <v>482</v>
      </c>
      <c r="P31" s="144">
        <f t="shared" si="36"/>
        <v>216</v>
      </c>
      <c r="Q31" s="144">
        <f t="shared" si="36"/>
        <v>413</v>
      </c>
      <c r="R31" s="144">
        <f t="shared" si="36"/>
        <v>801</v>
      </c>
      <c r="S31" s="144">
        <f t="shared" si="36"/>
        <v>772</v>
      </c>
      <c r="T31" s="144">
        <f t="shared" si="36"/>
        <v>1311</v>
      </c>
      <c r="U31" s="144">
        <f t="shared" si="36"/>
        <v>1322</v>
      </c>
      <c r="V31" s="144">
        <f t="shared" si="36"/>
        <v>719</v>
      </c>
      <c r="W31" s="144">
        <f t="shared" si="36"/>
        <v>286</v>
      </c>
      <c r="X31" s="144">
        <f t="shared" si="36"/>
        <v>616</v>
      </c>
      <c r="Y31" s="144">
        <f t="shared" si="36"/>
        <v>30</v>
      </c>
      <c r="Z31" s="144">
        <f t="shared" si="36"/>
        <v>56</v>
      </c>
      <c r="AA31" s="144">
        <f t="shared" si="36"/>
        <v>62</v>
      </c>
      <c r="AB31" s="144">
        <f t="shared" si="36"/>
        <v>24</v>
      </c>
      <c r="AC31" s="144">
        <f t="shared" si="36"/>
        <v>1</v>
      </c>
      <c r="AD31" s="144">
        <f t="shared" si="36"/>
        <v>0</v>
      </c>
      <c r="AE31" s="144">
        <f t="shared" si="36"/>
        <v>1</v>
      </c>
      <c r="AF31" s="144">
        <f t="shared" si="36"/>
        <v>0</v>
      </c>
      <c r="AG31" s="144">
        <f t="shared" si="36"/>
        <v>32</v>
      </c>
      <c r="AH31" s="144">
        <f t="shared" si="36"/>
        <v>64</v>
      </c>
      <c r="AI31" s="144">
        <f t="shared" si="36"/>
        <v>66</v>
      </c>
      <c r="AJ31" s="144">
        <f t="shared" si="36"/>
        <v>30</v>
      </c>
      <c r="AK31" s="144">
        <f t="shared" si="36"/>
        <v>1</v>
      </c>
      <c r="AL31" s="144">
        <f t="shared" si="36"/>
        <v>2</v>
      </c>
      <c r="AM31" s="144">
        <f t="shared" si="36"/>
        <v>2</v>
      </c>
      <c r="AN31" s="224">
        <f t="shared" si="36"/>
        <v>1</v>
      </c>
      <c r="AO31" s="225">
        <v>2</v>
      </c>
      <c r="AP31" s="225">
        <v>1</v>
      </c>
      <c r="AQ31" s="225">
        <v>1</v>
      </c>
      <c r="AR31" s="225">
        <v>1</v>
      </c>
      <c r="AS31" s="166">
        <f t="shared" si="36"/>
        <v>0</v>
      </c>
      <c r="AT31" s="166">
        <f t="shared" si="36"/>
        <v>0</v>
      </c>
      <c r="AU31" s="225"/>
      <c r="AV31" s="226"/>
      <c r="AW31" s="225"/>
      <c r="AX31" s="226"/>
      <c r="AY31" s="143">
        <f>SUBTOTAL(9,AY9:AY30)</f>
        <v>804</v>
      </c>
      <c r="AZ31" s="144">
        <f>SUBTOTAL(9,AZ9:AZ30)</f>
        <v>1375</v>
      </c>
      <c r="BA31" s="144">
        <f>SUBTOTAL(9,BA9:BA30)</f>
        <v>1388</v>
      </c>
      <c r="BB31" s="144">
        <f>SUBTOTAL(9,BB9:BB30)</f>
        <v>749</v>
      </c>
      <c r="BC31" s="145">
        <f>SUBTOTAL(9,BC9:BC30)</f>
        <v>400</v>
      </c>
      <c r="BD31" s="227">
        <f>IF(ISNUMBER(BA31/AZ31),BA31/AZ31," - ")</f>
        <v>1.0094545454545454</v>
      </c>
      <c r="BE31" s="224">
        <f>IF(ISNUMBER(BB31/BA31),BB31/BA31, " - ")</f>
        <v>0.53962536023054752</v>
      </c>
      <c r="BF31" s="224">
        <f>IF(ISNUMBER(BC31/BA31),BC31/BA31, " - ")</f>
        <v>0.28818443804034583</v>
      </c>
      <c r="BG31" s="145">
        <f>IF(ISNUMBER((AY31+AZ31)/BA31),(AY31+AZ31)/BA31," - ")</f>
        <v>1.5698847262247839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efOV8VYAN+kW3L4tPe6Dr47rb7vsCI0eoAkq+8DEDu6lXLWrfFdY07THuyVjgpSIHXJvJ7y+pYz8XxXUPflw==" saltValue="PemdRc2KWhwb0qP/FjrA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GgcadUV0e25B2pik2anqQzRRKQRnBBlvmGNaxcXDHZpSo9HhaIaaIPCwBnxJDR+bBfe9qzMv7BbQ18se7Uglg==" saltValue="bWnMh/GabLmYApenYKLk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VILLAVICIOSA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187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768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205</v>
      </c>
      <c r="BD12" s="693">
        <f>IF(ISNUMBER(Datos!N12),Datos!N12," - ")</f>
        <v>309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1.0520965692503177</v>
      </c>
      <c r="BH12" s="764">
        <f>IF(ISNUMBER(((IF(J_V="SI",Datos!L12/Datos!K12,(Datos!L12+Datos!AB12)/(Datos!K12+Datos!AA12)))*11)/factor_trimestre),((IF(J_V="SI",Datos!L12/Datos!K12,(Datos!L12+Datos!AB12)/(Datos!K12+Datos!AA12)))*11)/factor_trimestre," - ")</f>
        <v>6.2971014492753623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-0.19665271966527198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187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375</v>
      </c>
      <c r="AD14" s="1198">
        <f t="shared" si="2"/>
        <v>0</v>
      </c>
      <c r="AE14" s="1198">
        <f t="shared" si="2"/>
        <v>0</v>
      </c>
      <c r="AF14" s="1198">
        <f t="shared" si="2"/>
        <v>0</v>
      </c>
      <c r="AG14" s="1198">
        <f t="shared" si="2"/>
        <v>0</v>
      </c>
      <c r="AH14" s="1198">
        <f t="shared" si="2"/>
        <v>24</v>
      </c>
      <c r="AI14" s="1198">
        <f t="shared" si="2"/>
        <v>0</v>
      </c>
      <c r="AJ14" s="1198">
        <f t="shared" si="2"/>
        <v>0</v>
      </c>
      <c r="AK14" s="1198">
        <f t="shared" si="2"/>
        <v>0</v>
      </c>
      <c r="AL14" s="1198">
        <f t="shared" si="2"/>
        <v>0</v>
      </c>
      <c r="AM14" s="1198">
        <f t="shared" si="2"/>
        <v>768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208</v>
      </c>
      <c r="BD14" s="1198">
        <f t="shared" si="2"/>
        <v>310</v>
      </c>
      <c r="BE14" s="1198">
        <f t="shared" si="2"/>
        <v>0</v>
      </c>
      <c r="BF14" s="1198">
        <f t="shared" si="2"/>
        <v>0</v>
      </c>
      <c r="BG14" s="1198">
        <f>IF(ISNUMBER(Datos!K14/Datos!J14),Datos!K14/Datos!J14," - ")</f>
        <v>1.048913043478261</v>
      </c>
      <c r="BH14" s="1202">
        <f>IF(ISNUMBER(((Datos!L14/Datos!K14)*11)/factor_trimestre),((Datos!L14/Datos!K14)*11)/factor_trimestre," - ")</f>
        <v>6.4119170984455955</v>
      </c>
      <c r="BI14" s="1198">
        <f>IF(ISNUMBER('Resol  Asuntos'!D14/NºAsuntos!G14),'Resol  Asuntos'!D14/NºAsuntos!G14," - ")</f>
        <v>0.24940047961630696</v>
      </c>
      <c r="BJ14" s="1198" t="str">
        <f>IF(ISNUMBER(Datos!CI14/Datos!CJ14),Datos!CI14/Datos!CJ14," - ")</f>
        <v xml:space="preserve"> - </v>
      </c>
      <c r="BK14" s="1198">
        <f>SUBTOTAL(9,BK8:BK13)</f>
        <v>0</v>
      </c>
      <c r="BL14" s="1198">
        <f>IF(ISNUMBER((I14-AB14+L14)/(F14)),(I14-AB14+L14)/(F14)," - ")</f>
        <v>-6</v>
      </c>
      <c r="BM14" s="1203">
        <f>SUBTOTAL(9,BM9:BM13)</f>
        <v>-0.19665271966527198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241</v>
      </c>
      <c r="G17" s="743">
        <f>IF(ISNUMBER(IF(D_I="SI",Datos!I17,Datos!I17+Datos!AC17)),IF(D_I="SI",Datos!I17,Datos!I17+Datos!AC17)," - ")</f>
        <v>224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616</v>
      </c>
      <c r="AC17" s="240">
        <f>IF(ISNUMBER(Datos!Q17),Datos!Q17," - ")</f>
        <v>38</v>
      </c>
      <c r="AD17" s="374"/>
      <c r="AE17" s="562"/>
      <c r="AF17" s="741">
        <f>IF(ISNUMBER(IF(D_I="SI",Datos!L17,Datos!L17+Datos!AF17)),IF(D_I="SI",Datos!L17,Datos!L17+Datos!AF17)," - ")</f>
        <v>251</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v>
      </c>
      <c r="BD17" s="243">
        <f>IF(ISNUMBER(Datos!N17),Datos!N17," - ")</f>
        <v>358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0.98402555910543132</v>
      </c>
      <c r="BH17" s="764">
        <f>IF(ISNUMBER(((IF(D_I="SI",Datos!L17/Datos!K17,(Datos!L17+Datos!AF17)/(Datos!K17+Datos!AE17)))*11)/factor_trimestre),((IF(D_I="SI",Datos!L17/Datos!K17,(Datos!L17+Datos!AF17)/(Datos!K17+Datos!AE17)))*11)/factor_trimestre," - ")</f>
        <v>4.4821428571428577</v>
      </c>
      <c r="BI17" s="266">
        <f>IF(ISNUMBER('Resol  Asuntos'!D17/NºAsuntos!G17),'Resol  Asuntos'!D17/NºAsuntos!G17," - ")</f>
        <v>0.1185064935064935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0.92727272727272725</v>
      </c>
      <c r="BH18" s="764">
        <f>IF(ISNUMBER(((IF(D_I="SI",Datos!L18/Datos!K18,(Datos!L18+Datos!AF18)/(Datos!K18+Datos!AE18)))*11)/factor_trimestre),((IF(D_I="SI",Datos!L18/Datos!K18,(Datos!L18+Datos!AF18)/(Datos!K18+Datos!AE18)))*11)/factor_trimestre," - ")</f>
        <v>2.8039215686274508</v>
      </c>
      <c r="BI18" s="763">
        <f>IF(ISNUMBER('Resol  Asuntos'!D18/NºAsuntos!G18),'Resol  Asuntos'!D18/NºAsuntos!G18," - ")</f>
        <v>1.9607843137254902E-2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241</v>
      </c>
      <c r="G23" s="1197">
        <f>SUBTOTAL(9,G16:G22)</f>
        <v>233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667</v>
      </c>
      <c r="AC23" s="1198">
        <f t="shared" si="5"/>
        <v>38</v>
      </c>
      <c r="AD23" s="1198">
        <f t="shared" si="5"/>
        <v>0</v>
      </c>
      <c r="AE23" s="1198">
        <f t="shared" si="5"/>
        <v>0</v>
      </c>
      <c r="AF23" s="1198">
        <f t="shared" si="5"/>
        <v>264</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394</v>
      </c>
      <c r="BE23" s="1198">
        <f t="shared" si="5"/>
        <v>0</v>
      </c>
      <c r="BF23" s="1198">
        <f t="shared" si="5"/>
        <v>0</v>
      </c>
      <c r="BG23" s="1198">
        <f>IF(ISNUMBER(Datos!K23/Datos!J23),Datos!K23/Datos!J23," - ")</f>
        <v>0.97944199706314239</v>
      </c>
      <c r="BH23" s="1202">
        <f>IF(ISNUMBER(((Datos!L23/Datos!K23)*11)/factor_trimestre),((Datos!L23/Datos!K23)*11)/factor_trimestre," - ")</f>
        <v>4.3538230884557727</v>
      </c>
      <c r="BI23" s="1198">
        <f>SUBTOTAL(9,BI16:BI22)</f>
        <v>0.13811433664374839</v>
      </c>
      <c r="BJ23" s="1198">
        <f>SUBTOTAL(9,BJ16:BJ22)</f>
        <v>0</v>
      </c>
      <c r="BK23" s="1198">
        <f>SUBTOTAL(9,BK16:BK22)</f>
        <v>0</v>
      </c>
      <c r="BL23" s="1198">
        <f>IF(ISNUMBER((I23-AB23+L23)/(F23)),(I23-AB23+L23)/(F23)," - ")</f>
        <v>-2.7676348547717842</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242</v>
      </c>
      <c r="G31" s="1117">
        <f t="shared" si="18"/>
        <v>234</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216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673</v>
      </c>
      <c r="AC31" s="1118">
        <f t="shared" si="19"/>
        <v>413</v>
      </c>
      <c r="AD31" s="1118">
        <f t="shared" si="19"/>
        <v>0</v>
      </c>
      <c r="AE31" s="1118">
        <f t="shared" si="19"/>
        <v>0</v>
      </c>
      <c r="AF31" s="1125">
        <f t="shared" si="19"/>
        <v>264</v>
      </c>
      <c r="AG31" s="1125">
        <f t="shared" si="19"/>
        <v>0</v>
      </c>
      <c r="AH31" s="1125">
        <f t="shared" si="19"/>
        <v>24</v>
      </c>
      <c r="AI31" s="1125">
        <f t="shared" si="19"/>
        <v>0</v>
      </c>
      <c r="AJ31" s="1118">
        <f t="shared" si="19"/>
        <v>0</v>
      </c>
      <c r="AK31" s="1125">
        <f t="shared" si="19"/>
        <v>0</v>
      </c>
      <c r="AL31" s="1125">
        <f t="shared" si="19"/>
        <v>0</v>
      </c>
      <c r="AM31" s="1125">
        <f t="shared" si="19"/>
        <v>801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282</v>
      </c>
      <c r="BD31" s="1117">
        <f t="shared" si="19"/>
        <v>704</v>
      </c>
      <c r="BE31" s="1117">
        <f t="shared" si="19"/>
        <v>0</v>
      </c>
      <c r="BF31" s="1127">
        <f t="shared" si="19"/>
        <v>0</v>
      </c>
      <c r="BG31" s="1223">
        <f>IF(ISNUMBER(Datos!K31/Datos!J31),Datos!K31/Datos!J31," - ")</f>
        <v>1.0155257586450246</v>
      </c>
      <c r="BH31" s="1223">
        <f>IF(ISNUMBER(((Datos!L31/Datos!K31)*11)/factor_trimestre),((Datos!L31/Datos!K31)*11)/factor_trimestre," - ")</f>
        <v>5.457956914523975</v>
      </c>
      <c r="BI31" s="1103">
        <f>IF(ISNUMBER(Datos!J31/Datos!I31),Datos!J31/Datos!I31," - ")</f>
        <v>1.9707927677329624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-2.78099173553719</v>
      </c>
      <c r="BM31" s="1188">
        <f>IF(ISNUMBER((Datos!P31-Datos!Q31+R31)/(Datos!R31-Datos!P31+Datos!Q31-R31)),(Datos!P31-Datos!Q31+R31)/(Datos!R31-Datos!P31+Datos!Q31-R31)," - ")</f>
        <v>-0.19739478957915832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124.19447115981721</v>
      </c>
      <c r="G33" s="674">
        <f>IF(ISNUMBER(STDEV(G8:G30)),STDEV(G8:G30),"-")</f>
        <v>110.49800687709043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307.73403792112128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89.715423104710055</v>
      </c>
      <c r="BD33" s="673"/>
      <c r="BE33" s="673">
        <f>IF(ISNUMBER(STDEV(BE8:BE30)),STDEV(BE8:BE30),"-")</f>
        <v>0</v>
      </c>
      <c r="BF33" s="678">
        <f>IF(ISNUMBER(STDEV(BF8:BF30)),STDEV(BF8:BF30),"-")</f>
        <v>0</v>
      </c>
      <c r="BG33" s="1052">
        <f>IF(ISNUMBER(STDEV(BG8:BG30)),STDEV(BG8:BG30),"-")</f>
        <v>9.4810975118663487E-2</v>
      </c>
      <c r="BH33" s="1058">
        <f>IF(ISNUMBER(STDEV(BH8:BH30)),STDEV(BH8:BH30),"-")</f>
        <v>2.4025813636436744</v>
      </c>
      <c r="BI33" s="273">
        <f>IF(ISNUMBER(STDEV(BI8:BI30)),STDEV(BI8:BI30),"-")</f>
        <v>9.4221236352699564E-2</v>
      </c>
      <c r="BJ33" s="244" t="str">
        <f>IF(ISNUMBER(BL33/BM33),BL33/BM33," - ")</f>
        <v xml:space="preserve"> - </v>
      </c>
      <c r="BK33" s="709"/>
      <c r="BL33" s="681">
        <f>IF(ISNUMBER(STDEV(BL8:BL30)),STDEV(BL8:BL30),"-")</f>
        <v>2.2856273134619092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Lwt1JXdW51iHucnxjKF6BJM+w63BuUwq4jpWgwG82mHEGlIY3YiqIpA/rB1neGYnyI2wiPPyGSZgQvoxvpcww==" saltValue="CFmROTcE1Y1zH7QcPv5p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VILLAVICIOSA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375</v>
      </c>
      <c r="AA12" s="551" t="str">
        <f>IF(ISNUMBER(IF(J_V="SI",Datos!L12,Datos!L12+Datos!AB12)-IF(Monitorios="SI",Datos!CD12,0)),
                          IF(J_V="SI",Datos!L12,Datos!L12+Datos!AB12)-IF(Monitorios="SI",Datos!CD12,0),
                          " - ")</f>
        <v xml:space="preserve"> - </v>
      </c>
      <c r="AB12" s="549"/>
      <c r="AC12" s="549"/>
      <c r="AD12" s="563"/>
      <c r="AE12" s="563">
        <f>IF(ISNUMBER(Datos!R12),Datos!R12," - ")</f>
        <v>768</v>
      </c>
      <c r="AF12" s="693" t="str">
        <f>IF(ISNUMBER(Datos!BV12),Datos!BV12," - ")</f>
        <v xml:space="preserve"> - </v>
      </c>
      <c r="AG12" s="552" t="str">
        <f>IF(ISNUMBER(Datos!DV12),Datos!DV12," - ")</f>
        <v xml:space="preserve"> - </v>
      </c>
      <c r="AH12" s="553"/>
      <c r="AI12" s="554"/>
      <c r="AJ12" s="552">
        <f>IF(ISNUMBER(Datos!M12),Datos!M12," - ")</f>
        <v>205</v>
      </c>
      <c r="AK12" s="693">
        <f>IF(ISNUMBER(Datos!N12),Datos!N12," - ")</f>
        <v>309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6.2971014492753623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-0.19665271966527198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375</v>
      </c>
      <c r="AA14" s="1199">
        <f t="shared" si="3"/>
        <v>0</v>
      </c>
      <c r="AB14" s="1199">
        <f t="shared" si="3"/>
        <v>0</v>
      </c>
      <c r="AC14" s="1199">
        <f t="shared" si="3"/>
        <v>0</v>
      </c>
      <c r="AD14" s="1199">
        <f t="shared" si="3"/>
        <v>0</v>
      </c>
      <c r="AE14" s="1199">
        <f t="shared" si="3"/>
        <v>768</v>
      </c>
      <c r="AF14" s="1211">
        <f t="shared" si="3"/>
        <v>0</v>
      </c>
      <c r="AG14" s="1211">
        <f t="shared" si="3"/>
        <v>0</v>
      </c>
      <c r="AH14" s="1211">
        <f t="shared" si="3"/>
        <v>0</v>
      </c>
      <c r="AI14" s="1211">
        <f t="shared" si="3"/>
        <v>0</v>
      </c>
      <c r="AJ14" s="1211">
        <f t="shared" si="3"/>
        <v>208</v>
      </c>
      <c r="AK14" s="1211">
        <f t="shared" si="3"/>
        <v>310</v>
      </c>
      <c r="AL14" s="1211">
        <f t="shared" si="3"/>
        <v>0</v>
      </c>
      <c r="AM14" s="1211">
        <f t="shared" si="3"/>
        <v>0</v>
      </c>
      <c r="AN14" s="1211">
        <f t="shared" si="3"/>
        <v>0</v>
      </c>
      <c r="AO14" s="1203">
        <f>IF(ISNUMBER(((NºAsuntos!I14/NºAsuntos!G14)*11)/factor_trimestre),((NºAsuntos!I14/NºAsuntos!G14)*11)/factor_trimestre," - ")</f>
        <v>6.2517985611510793</v>
      </c>
      <c r="AP14" s="1213" t="str">
        <f>IF(ISNUMBER(Datos!CI14/Datos!CJ14),Datos!CI14/Datos!CJ14," - ")</f>
        <v xml:space="preserve"> - </v>
      </c>
      <c r="AQ14" s="1236">
        <f t="shared" ref="AQ14:AV14" si="4">SUBTOTAL(9,AQ9:AQ13)</f>
        <v>0</v>
      </c>
      <c r="AR14" s="1236">
        <f t="shared" si="4"/>
        <v>-0.19665271966527198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241</v>
      </c>
      <c r="G17" s="552">
        <f>IF(ISNUMBER(IF(D_I="SI",Datos!I17,Datos!I17+Datos!AC17)),IF(D_I="SI",Datos!I17,Datos!I17+Datos!AC17)," - ")</f>
        <v>224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616</v>
      </c>
      <c r="Z17" s="805">
        <f>IF(ISNUMBER(Datos!Q17),Datos!Q17," - ")</f>
        <v>38</v>
      </c>
      <c r="AA17" s="551">
        <f>IF(ISNUMBER(IF(D_I="SI",Datos!L17,Datos!L17+Datos!AF17)),IF(D_I="SI",Datos!L17,Datos!L17+Datos!AF17)," - ")</f>
        <v>251</v>
      </c>
      <c r="AB17" s="549"/>
      <c r="AC17" s="549"/>
      <c r="AD17" s="563"/>
      <c r="AE17" s="563">
        <f>IF(ISNUMBER(Datos!R17),Datos!R17," - ")</f>
        <v>33</v>
      </c>
      <c r="AF17" s="693" t="str">
        <f>IF(ISNUMBER(Datos!BV17),Datos!BV17," - ")</f>
        <v xml:space="preserve"> - </v>
      </c>
      <c r="AG17" s="552"/>
      <c r="AH17" s="553"/>
      <c r="AI17" s="554"/>
      <c r="AJ17" s="552">
        <f>IF(ISNUMBER(Datos!M17),Datos!M17," - ")</f>
        <v>73</v>
      </c>
      <c r="AK17" s="693">
        <f>IF(ISNUMBER(Datos!N17),Datos!N17," - ")</f>
        <v>358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4.4821428571428577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2.8039215686274508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241</v>
      </c>
      <c r="G23" s="1197">
        <f>SUBTOTAL(9,G16:G22)</f>
        <v>233</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667</v>
      </c>
      <c r="Z23" s="1240">
        <f t="shared" si="6"/>
        <v>38</v>
      </c>
      <c r="AA23" s="1240">
        <f t="shared" si="6"/>
        <v>264</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74</v>
      </c>
      <c r="AK23" s="1240">
        <f t="shared" si="6"/>
        <v>394</v>
      </c>
      <c r="AL23" s="1240">
        <f t="shared" si="6"/>
        <v>0</v>
      </c>
      <c r="AM23" s="1240">
        <f t="shared" si="6"/>
        <v>0</v>
      </c>
      <c r="AN23" s="1240">
        <f t="shared" si="6"/>
        <v>0</v>
      </c>
      <c r="AO23" s="1242">
        <f>IF(ISNUMBER(((NºAsuntos!I23/NºAsuntos!G23)*11)/factor_trimestre),((NºAsuntos!I23/NºAsuntos!G23)*11)/factor_trimestre," - ")</f>
        <v>4.3538230884557727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242</v>
      </c>
      <c r="G31" s="1117">
        <f t="shared" si="12"/>
        <v>234</v>
      </c>
      <c r="H31" s="1118">
        <f t="shared" si="12"/>
        <v>0</v>
      </c>
      <c r="I31" s="1117">
        <f t="shared" si="12"/>
        <v>0</v>
      </c>
      <c r="J31" s="1119">
        <f t="shared" si="12"/>
        <v>0</v>
      </c>
      <c r="K31" s="1117">
        <f t="shared" si="12"/>
        <v>0</v>
      </c>
      <c r="L31" s="1120">
        <f t="shared" si="12"/>
        <v>0</v>
      </c>
      <c r="M31" s="1117">
        <f t="shared" si="12"/>
        <v>0</v>
      </c>
      <c r="N31" s="1118">
        <f t="shared" si="12"/>
        <v>216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673</v>
      </c>
      <c r="Z31" s="1124">
        <f t="shared" si="13"/>
        <v>413</v>
      </c>
      <c r="AA31" s="1125">
        <f t="shared" si="13"/>
        <v>264</v>
      </c>
      <c r="AB31" s="1125">
        <f t="shared" si="13"/>
        <v>0</v>
      </c>
      <c r="AC31" s="1125">
        <f t="shared" si="13"/>
        <v>0</v>
      </c>
      <c r="AD31" s="1126">
        <f t="shared" si="13"/>
        <v>0</v>
      </c>
      <c r="AE31" s="1126">
        <f t="shared" si="13"/>
        <v>801</v>
      </c>
      <c r="AF31" s="1127">
        <f t="shared" si="13"/>
        <v>0</v>
      </c>
      <c r="AG31" s="1128">
        <f t="shared" si="13"/>
        <v>0</v>
      </c>
      <c r="AH31" s="1129">
        <f t="shared" si="13"/>
        <v>0</v>
      </c>
      <c r="AI31" s="1127">
        <f t="shared" si="13"/>
        <v>0</v>
      </c>
      <c r="AJ31" s="1117">
        <f t="shared" si="13"/>
        <v>282</v>
      </c>
      <c r="AK31" s="1117">
        <f t="shared" si="13"/>
        <v>704</v>
      </c>
      <c r="AL31" s="1117">
        <f t="shared" si="13"/>
        <v>0</v>
      </c>
      <c r="AM31" s="1130">
        <f t="shared" si="13"/>
        <v>0</v>
      </c>
      <c r="AN31" s="1120">
        <f>IF(ISNUMBER(Datos!K31/Datos!J31),Datos!K31/Datos!J31," - ")</f>
        <v>1.0155257586450246</v>
      </c>
      <c r="AO31" s="1120">
        <f>IF(ISNUMBER(FIND("06",Criterios!A8,1)),(IF(ISNUMBER(((Datos!R31/Datos!Q31)*11)/factor_trimestre),((Datos!R31/Datos!Q31)*11)/factor_trimestre," - ")),(IF(ISNUMBER(((Datos!L31/Datos!K31)*11)/factor_trimestre),((Datos!L31/Datos!K31)*11)/factor_trimestre," - ")))</f>
        <v>5.457956914523975</v>
      </c>
      <c r="AP31" s="1131" t="str">
        <f>IF(ISNUMBER(Datos!CI31/Datos!CJ31),Datos!CI31/Datos!CJ31," - ")</f>
        <v xml:space="preserve"> - </v>
      </c>
      <c r="AQ31" s="1131">
        <f>IF(OR(ISNUMBER(FIND("01",Criterios!A8,1)),ISNUMBER(FIND("02",Criterios!A8,1)),ISNUMBER(FIND("03",Criterios!A8,1)),ISNUMBER(FIND("04",Criterios!A8,1))),(J31-Y31+K31)/(F31-K31),(I31-Y31+K31)/(F31-K31))</f>
        <v>-2.78099173553719</v>
      </c>
      <c r="AR31" s="1131">
        <f>IF(ISNUMBER((Datos!P31-Datos!Q31+O31)/(Datos!R31-Datos!P31+Datos!Q31-O31)),(Datos!P31-Datos!Q31+O31)/(Datos!R31-Datos!P31+Datos!Q31-O31)," - ")</f>
        <v>-0.19739478957915832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124.19447115981721</v>
      </c>
      <c r="G33" s="674">
        <f>IF(ISNUMBER(STDEV(G8:G30)),STDEV(G8:G30),"-")</f>
        <v>110.49800687709043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89.715423104710055</v>
      </c>
      <c r="AK33" s="276"/>
      <c r="AL33" s="276">
        <f>IF(ISNUMBER(STDEV(AL8:AL30)),STDEV(AL8:AL30),"-")</f>
        <v>0</v>
      </c>
      <c r="AM33" s="278">
        <f>IF(ISNUMBER(STDEV(AM8:AM30)),STDEV(AM8:AM30),"-")</f>
        <v>0</v>
      </c>
      <c r="AN33" s="660">
        <f>IF(ISNUMBER(STDEV(AN8:AN30)),STDEV(AN8:AN30),"-")</f>
        <v>0</v>
      </c>
      <c r="AO33" s="661">
        <f>IF(ISNUMBER(STDEV(AO8:AO30)),STDEV(AO8:AO30),"-")</f>
        <v>2.3719016772750301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OOY/YxzBOaovKMLD2ljb/BHSwd4xB4IQQnNfjPuY1/lVy/fGZM0ZSI/zfrYieGhrWU/d36oBQQMwjwtQMFl+Zw==" saltValue="KjsSZntLb2zLx97Lzm2s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MJRZ1JDJ235uzMH55O1J1jmulLKliT+M6MY5+AZaFCmCYj3oVabu9PeRrJbfkzrj0NvjPNDWt+gEmdBmru91g==" saltValue="qaqYPeiIn9//JQKPQjff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AdPSXOt9yeDgqGm26LETVmMtcsm0Dm8Es5ML1Yf/GnjJ/gtKFxDhIviJLWmw6JCpq2jG7OvDgT1HWlcGJqRg==" saltValue="52gROMCGgjVM94WRQL2u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VILLAVICIOSA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0.24940047961630696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0.17635277036786798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W9JH2+TB/3TUQR5EcJsZlMfflkEEnHJEFYqN+4pbZjWGFyE5YHQ3wwqaiO26Qynk/OSw7qQQJCKTrnNYDKIXA==" saltValue="UnGKuEngM3sICR8nx6UC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FRjRJqxvDgAQMTKZZ4C6Vv66iACt5Kcf0ApKnNly8MwrTxlFfwGrxVeXR8SGbm1R7WoD8cHkH0PHKkMpoIAlg==" saltValue="peDK9DGXFOgcTgHBC1Va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VILLAVICIOSA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6</v>
      </c>
      <c r="H10" s="452">
        <f>IF(ISNUMBER(G10/B10),G10/B10," - ")</f>
        <v>6</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515</v>
      </c>
      <c r="D12" s="452">
        <f>IF(ISNUMBER(C12/Datos!BH12),C12/Datos!BH12," - ")</f>
        <v>515</v>
      </c>
      <c r="E12" s="451">
        <f>IF(ISNUMBER(IF(J_V="SI",Datos!J12,Datos!J12+Datos!Z12)),IF(J_V="SI",Datos!J12,Datos!J12+Datos!Z12)," - ")</f>
        <v>787</v>
      </c>
      <c r="F12" s="452">
        <f>IF(ISNUMBER(E12/B12),E12/B12," - ")</f>
        <v>787</v>
      </c>
      <c r="G12" s="451">
        <f>IF(ISNUMBER(IF(J_V="SI",Datos!K12,Datos!K12+Datos!AA12)),IF(J_V="SI",Datos!K12,Datos!K12+Datos!AA12)," - ")</f>
        <v>828</v>
      </c>
      <c r="H12" s="452">
        <f>IF(ISNUMBER(G12/B12),G12/B12," - ")</f>
        <v>828</v>
      </c>
      <c r="I12" s="451">
        <f>IF(ISNUMBER(IF(J_V="SI",Datos!L12,Datos!L12+Datos!AB12)),IF(J_V="SI",Datos!L12,Datos!L12+Datos!AB12)," - ")</f>
        <v>474</v>
      </c>
      <c r="J12" s="452">
        <f>IF(ISNUMBER(I12/B12),I12/B12," - ")</f>
        <v>474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516</v>
      </c>
      <c r="D14" s="1147" t="str">
        <f>IF(ISNUMBER(C14/Datos!BI14),C14/Datos!BI14," - ")</f>
        <v xml:space="preserve"> - </v>
      </c>
      <c r="E14" s="1146">
        <f>SUBTOTAL(9,E8:E13)</f>
        <v>792</v>
      </c>
      <c r="F14" s="1147">
        <f>IF(ISNUMBER(E14/B14),E14/B14," - ")</f>
        <v>792</v>
      </c>
      <c r="G14" s="1146">
        <f>SUBTOTAL(9,G8:G13)</f>
        <v>834</v>
      </c>
      <c r="H14" s="1147">
        <f>IF(ISNUMBER(G14/B14),G14/B14," - ")</f>
        <v>834</v>
      </c>
      <c r="I14" s="1146">
        <f>SUBTOTAL(9,I8:I13)</f>
        <v>474</v>
      </c>
      <c r="J14" s="1147">
        <f>IF(ISNUMBER(I14/B14),I14/B14," - ")</f>
        <v>474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224</v>
      </c>
      <c r="D17" s="452">
        <f>IF(ISNUMBER(C17/Datos!BH17),C17/Datos!BH17," - ")</f>
        <v>224</v>
      </c>
      <c r="E17" s="451">
        <f>IF(ISNUMBER(IF(D_I="SI",Datos!J17,Datos!J17+Datos!AD17)),IF(D_I="SI",Datos!J17,Datos!J17+Datos!AD17)," - ")</f>
        <v>626</v>
      </c>
      <c r="F17" s="452">
        <f>IF(ISNUMBER(E17/B17),E17/B17," - ")</f>
        <v>626</v>
      </c>
      <c r="G17" s="451">
        <f>IF(ISNUMBER(IF(D_I="SI",Datos!K17,Datos!K17+Datos!AE17)),IF(D_I="SI",Datos!K17,Datos!K17+Datos!AE17)," - ")</f>
        <v>616</v>
      </c>
      <c r="H17" s="452">
        <f>IF(ISNUMBER(G17/B17),G17/B17," - ")</f>
        <v>616</v>
      </c>
      <c r="I17" s="451">
        <f>IF(ISNUMBER(IF(D_I="SI",Datos!L17,Datos!L17+Datos!AF17)),IF(D_I="SI",Datos!L17,Datos!L17+Datos!AF17)," - ")</f>
        <v>251</v>
      </c>
      <c r="J17" s="452">
        <f>IF(ISNUMBER(I17/B17),I17/B17," - ")</f>
        <v>251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55</v>
      </c>
      <c r="F18" s="452">
        <f>IF(ISNUMBER(E18/B18),E18/B18," - ")</f>
        <v>55</v>
      </c>
      <c r="G18" s="451">
        <f>IF(ISNUMBER(IF(D_I="SI",Datos!K18,Datos!K18+Datos!AE18)),IF(D_I="SI",Datos!K18,Datos!K18+Datos!AE18)," - ")</f>
        <v>51</v>
      </c>
      <c r="H18" s="452">
        <f>IF(ISNUMBER(G18/B18),G18/B18," - ")</f>
        <v>51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233</v>
      </c>
      <c r="D23" s="1147" t="str">
        <f>IF(ISNUMBER(C23/Datos!BI23),C23/Datos!BI23," - ")</f>
        <v xml:space="preserve"> - </v>
      </c>
      <c r="E23" s="1146">
        <f>SUBTOTAL(9,E15:E22)</f>
        <v>681</v>
      </c>
      <c r="F23" s="1147">
        <f>IF(ISNUMBER(E23/B23),E23/B23," - ")</f>
        <v>681</v>
      </c>
      <c r="G23" s="1146">
        <f>SUBTOTAL(9,G15:G22)</f>
        <v>667</v>
      </c>
      <c r="H23" s="1147">
        <f>IF(ISNUMBER(G23/B23),G23/B23," - ")</f>
        <v>667</v>
      </c>
      <c r="I23" s="1146">
        <f>SUBTOTAL(9,I15:I22)</f>
        <v>264</v>
      </c>
      <c r="J23" s="1147">
        <f>IF(ISNUMBER(I23/B23),I23/B23," - ")</f>
        <v>264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749</v>
      </c>
      <c r="D31" s="1085" t="str">
        <f>IF(ISNUMBER(C31/Datos!BI31),C31/Datos!BI31," - ")</f>
        <v xml:space="preserve"> - </v>
      </c>
      <c r="E31" s="1084">
        <f>SUBTOTAL(9,E9:E30)</f>
        <v>1473</v>
      </c>
      <c r="F31" s="1085">
        <f>IF(ISNUMBER(E31/B31),E31/B31," - ")</f>
        <v>1473</v>
      </c>
      <c r="G31" s="1084">
        <f>SUBTOTAL(9,G9:G30)</f>
        <v>1501</v>
      </c>
      <c r="H31" s="1085">
        <f>IF(ISNUMBER(G31/B31),G31/B31," - ")</f>
        <v>1501</v>
      </c>
      <c r="I31" s="1084">
        <f>SUBTOTAL(9,I9:I30)</f>
        <v>738</v>
      </c>
      <c r="J31" s="1085">
        <f>IF(ISNUMBER(I31/B31),I31/B31," - ")</f>
        <v>738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gEPCRFBigDoOPrtRZNrkyYslxkxXVi7WgRC9jnhXbUAFGGvM2AldFz0RzX5Pd/WudoaTu6PGlsA9NKM8D4GBQ==" saltValue="3mZ4ZLAYbwqUVT28Kpct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VILLAVICIOSA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205</v>
      </c>
      <c r="AM12" s="914">
        <f>IF(ISNUMBER(Datos!N12+DatosP!N17),Datos!N12+DatosP!N17," - ")</f>
        <v>309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6.2971014492753623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-0.19665271966527198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375</v>
      </c>
      <c r="AE14" s="1257">
        <f t="shared" si="1"/>
        <v>0</v>
      </c>
      <c r="AF14" s="1257">
        <f t="shared" si="1"/>
        <v>0</v>
      </c>
      <c r="AG14" s="1257">
        <f t="shared" si="1"/>
        <v>0</v>
      </c>
      <c r="AH14" s="1257">
        <f t="shared" si="1"/>
        <v>768</v>
      </c>
      <c r="AI14" s="1257">
        <f t="shared" si="1"/>
        <v>0</v>
      </c>
      <c r="AJ14" s="1257">
        <f t="shared" si="1"/>
        <v>0</v>
      </c>
      <c r="AK14" s="1257">
        <f t="shared" si="1"/>
        <v>0</v>
      </c>
      <c r="AL14" s="1257">
        <f t="shared" si="1"/>
        <v>208</v>
      </c>
      <c r="AM14" s="1257">
        <f t="shared" si="1"/>
        <v>310</v>
      </c>
      <c r="AN14" s="1257">
        <f t="shared" si="1"/>
        <v>0</v>
      </c>
      <c r="AO14" s="1257">
        <f t="shared" si="1"/>
        <v>0</v>
      </c>
      <c r="AP14" s="1262">
        <f>IF(ISNUMBER(((Datos!L14/Datos!K14)*11)/factor_trimestre),((Datos!L14/Datos!K14)*11)/factor_trimestre," - ")</f>
        <v>6.4119170984455955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v>
      </c>
      <c r="AU14" s="1257" t="str">
        <f>IF(ISNUMBER((DatosP!#REF!-DatosP!#REF!+DatosP!#REF!)/(DatosP!#REF!+DatosP!#REF!-DatosP!#REF!-DatosP!#REF!)),(DatosP!#REF!-DatosP!#REF!+DatosP!#REF!)/(DatosP!#REF!+DatosP!#REF!-DatosP!#REF!-DatosP!#REF!)," - ")</f>
        <v xml:space="preserve"> - </v>
      </c>
      <c r="AV14" s="1263">
        <f>SUBTOTAL(9,AV9:AV13)</f>
        <v>-0.19665271966527198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4.3538230884557727</v>
      </c>
      <c r="AQ23" s="1262">
        <f>IF(ISNUMBER(((Datos!M23/Datos!L23)*11)/factor_trimestre),((Datos!M23/Datos!L23)*11)/factor_trimestre," - ")</f>
        <v>3.083333333333333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2.336448598130841E-2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375</v>
      </c>
      <c r="AE31" s="1284">
        <f t="shared" si="9"/>
        <v>0</v>
      </c>
      <c r="AF31" s="1285">
        <f t="shared" si="9"/>
        <v>0</v>
      </c>
      <c r="AG31" s="1285">
        <f t="shared" si="9"/>
        <v>0</v>
      </c>
      <c r="AH31" s="1285">
        <f t="shared" si="9"/>
        <v>768</v>
      </c>
      <c r="AI31" s="1285">
        <f t="shared" si="9"/>
        <v>0</v>
      </c>
      <c r="AJ31" s="1286">
        <f t="shared" si="9"/>
        <v>0</v>
      </c>
      <c r="AK31" s="1286">
        <f t="shared" si="9"/>
        <v>0</v>
      </c>
      <c r="AL31" s="1278">
        <f t="shared" si="9"/>
        <v>208</v>
      </c>
      <c r="AM31" s="1278">
        <f t="shared" si="9"/>
        <v>310</v>
      </c>
      <c r="AN31" s="1278">
        <f t="shared" si="9"/>
        <v>0</v>
      </c>
      <c r="AO31" s="1278">
        <f t="shared" si="9"/>
        <v>0</v>
      </c>
      <c r="AP31" s="1278">
        <f>IF(ISNUMBER(((Datos!L31/Datos!K31)*11)/factor_trimestre),((Datos!L31/Datos!K31)*11)/factor_trimestre," - ")</f>
        <v>5.457956914523975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-0.19739478957915832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106.25943095399423</v>
      </c>
      <c r="AM33" s="1006"/>
      <c r="AN33" s="1006">
        <f>IF(ISNUMBER(STDEV(AN8:AN30)),STDEV(AN8:AN30),"-")</f>
        <v>0</v>
      </c>
      <c r="AO33" s="1012">
        <f>IF(ISNUMBER(STDEV(AO8:AO30)),STDEV(AO8:AO30),"-")</f>
        <v>0</v>
      </c>
      <c r="AP33" s="1065">
        <f>IF(ISNUMBER(STDEV(AP8:AP30)),STDEV(AP8:AP30),"-")</f>
        <v>2.9964869347322853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WBLtM/YGv8UftF+VCEsRBxd8z07NQBBGZp0Ug8Vx2mtXC1T4FaQaSAeQB/wBvYrBt1GNyyE6oNTcKqsk+Hibg==" saltValue="KHo1CLIFsCfhXZVjh7LM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VILLAVICIOSA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8gFlXGMv/nJVeLA3z9GFXC5AA8juM2BWhm4UpGWiHdpS3XxFHgDabCWd8wla1wb1BJtDTgS2yQpVFgIVsxvjIg==" saltValue="tK7xMOBHQDec4SkL1jH7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VILLAVICIOSA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205</v>
      </c>
      <c r="E12" s="452">
        <f t="shared" si="0"/>
        <v>205</v>
      </c>
      <c r="F12" s="451">
        <f>IF(ISNUMBER(Datos!N12),Datos!N12," - ")</f>
        <v>309</v>
      </c>
      <c r="G12" s="452">
        <f t="shared" si="1"/>
        <v>309</v>
      </c>
      <c r="H12" s="451">
        <f>IF(ISNUMBER(Datos!O12),Datos!O12," - ")</f>
        <v>461</v>
      </c>
      <c r="I12" s="452">
        <f t="shared" si="2"/>
        <v>461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208</v>
      </c>
      <c r="E14" s="1147">
        <f t="shared" si="0"/>
        <v>104</v>
      </c>
      <c r="F14" s="1146">
        <f>SUBTOTAL(9,F9:F13)</f>
        <v>310</v>
      </c>
      <c r="G14" s="1147">
        <f t="shared" si="1"/>
        <v>155</v>
      </c>
      <c r="H14" s="1146">
        <f>SUBTOTAL(9,H9:H13)</f>
        <v>462</v>
      </c>
      <c r="I14" s="1147">
        <f>IF(ISNUMBER(H14/B14),H14/B14," - ")</f>
        <v>231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73</v>
      </c>
      <c r="E17" s="452">
        <f t="shared" si="3"/>
        <v>73</v>
      </c>
      <c r="F17" s="451">
        <f>IF(ISNUMBER(Datos!N17),Datos!N17," - ")</f>
        <v>358</v>
      </c>
      <c r="G17" s="452">
        <f t="shared" si="4"/>
        <v>358</v>
      </c>
      <c r="H17" s="451">
        <f>IF(ISNUMBER(Datos!O17),Datos!O17," - ")</f>
        <v>20</v>
      </c>
      <c r="I17" s="452">
        <f t="shared" si="5"/>
        <v>20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74</v>
      </c>
      <c r="E23" s="1147">
        <f t="shared" si="3"/>
        <v>37</v>
      </c>
      <c r="F23" s="1146">
        <f>SUBTOTAL(9,F16:F22)</f>
        <v>394</v>
      </c>
      <c r="G23" s="1147">
        <f t="shared" si="4"/>
        <v>197</v>
      </c>
      <c r="H23" s="1146">
        <f>SUBTOTAL(9,H16:H22)</f>
        <v>20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282</v>
      </c>
      <c r="E31" s="1085">
        <f>IF(ISNUMBER(D31/B31),D31/B31," - ")</f>
        <v>282</v>
      </c>
      <c r="F31" s="1084">
        <f>SUBTOTAL(9,F8:F30)</f>
        <v>704</v>
      </c>
      <c r="G31" s="1085">
        <f>IF(ISNUMBER(F31/B31),F31/B31," - ")</f>
        <v>704</v>
      </c>
      <c r="H31" s="1084">
        <f>SUBTOTAL(9,H8:H30)</f>
        <v>482</v>
      </c>
      <c r="I31" s="1085">
        <f>IF(ISNUMBER(H31/B31),H31/B31," - ")</f>
        <v>482</v>
      </c>
    </row>
    <row r="34" spans="1:1">
      <c r="A34" s="439" t="str">
        <f>Criterios!A4</f>
        <v>Fecha Informe: 14 abr. 2023</v>
      </c>
    </row>
    <row r="39" spans="1:1">
      <c r="A39" s="462"/>
    </row>
  </sheetData>
  <sheetProtection algorithmName="SHA-512" hashValue="kihTrS2Yif9xnjykvEcuKX3XXgVZ3oAdgzIxF5BwAIqc49wTgnEdGTjsw2CRSN/54TChIm6iRrJvZc45Rej0ow==" saltValue="gYg9TolHlvEBUWaA1fCW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VILLAVICIOSA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187</v>
      </c>
      <c r="C12" s="489">
        <f>IF(ISNUMBER(Datos!Q12),Datos!Q12," - ")</f>
        <v>375</v>
      </c>
      <c r="D12" s="456">
        <f>IF(ISNUMBER(Datos!R12),Datos!R12," - ")</f>
        <v>768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187</v>
      </c>
      <c r="C14" s="1150">
        <f>SUBTOTAL(9,C9:C13)</f>
        <v>375</v>
      </c>
      <c r="D14" s="1148">
        <f>SUBTOTAL(9,D9:D13)</f>
        <v>768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38</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38</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216</v>
      </c>
      <c r="C31" s="1089">
        <f>SUBTOTAL(9,C8:C30)</f>
        <v>413</v>
      </c>
      <c r="D31" s="1090">
        <f>SUBTOTAL(9,D8:D30)</f>
        <v>801</v>
      </c>
    </row>
    <row r="32" spans="1:4" ht="7.5" customHeight="1"/>
    <row r="33" spans="1:1" ht="6" customHeight="1"/>
    <row r="34" spans="1:1">
      <c r="A34" s="439" t="str">
        <f>Criterios!A4</f>
        <v>Fecha Informe: 14 abr. 2023</v>
      </c>
    </row>
    <row r="39" spans="1:1">
      <c r="A39" s="462"/>
    </row>
  </sheetData>
  <sheetProtection algorithmName="SHA-512" hashValue="8DsVZnC7yvz5x9ZrPbfiBmSk93n9iJXiLjZeXBpzlyv7pwhQsLS6/87G3FkxrI+3od2QJJJTIrkKJVDuopJHLQ==" saltValue="a68OWhE1a0uTHilaeqxN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VILLAVICIOSA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4</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-0.11965811965811966</v>
      </c>
      <c r="C12" s="515">
        <f>IF(ISNUMBER(
   IF(J_V="SI",(Datos!J12-Datos!T12)/Datos!T12,(Datos!J12+Datos!Z12-(Datos!T12+Datos!AH12))/(Datos!T12+Datos!AH12))
     ),IF(J_V="SI",(Datos!J12-Datos!T12)/Datos!T12,(Datos!J12+Datos!Z12-(Datos!T12+Datos!AH12))/(Datos!T12+Datos!AH12))," - ")</f>
        <v>8.4022038567493115E-2</v>
      </c>
      <c r="D12" s="515">
        <f>IF(ISNUMBER(
   IF(J_V="SI",(Datos!K12-Datos!U12)/Datos!U12,(Datos!K12+Datos!AA12-(Datos!U12+Datos!AI12))/(Datos!U12+Datos!AI12))
     ),IF(J_V="SI",(Datos!K12-Datos!U12)/Datos!U12,(Datos!K12+Datos!AA12-(Datos!U12+Datos!AI12))/(Datos!U12+Datos!AI12))," - ")</f>
        <v>0.10106382978723404</v>
      </c>
      <c r="E12" s="515">
        <f>IF(ISNUMBER(
   IF(J_V="SI",(Datos!L12-Datos!V12)/Datos!V12,(Datos!L12+Datos!AB12-(Datos!V12+Datos!AJ12))/(Datos!V12+Datos!AJ12))
     ),IF(J_V="SI",(Datos!L12-Datos!V12)/Datos!V12,(Datos!L12+Datos!AB12-(Datos!V12+Datos!AJ12))/(Datos!V12+Datos!AJ12))," - ")</f>
        <v>-7.9611650485436891E-2</v>
      </c>
      <c r="F12" s="515">
        <f>IF(ISNUMBER((Datos!M12-Datos!W12)/Datos!W12),(Datos!M12-Datos!W12)/Datos!W12," - ")</f>
        <v>6.2176165803108807E-2</v>
      </c>
      <c r="G12" s="516">
        <f>IF(ISNUMBER((Datos!N12-Datos!X12)/Datos!X12),(Datos!N12-Datos!X12)/Datos!X12," - ")</f>
        <v>6.5146579804560263E-3</v>
      </c>
      <c r="H12" s="514">
        <f>IF(ISNUMBER(((NºAsuntos!G12/NºAsuntos!E12)-Datos!BD12)/Datos!BD12),((NºAsuntos!G12/NºAsuntos!E12)-Datos!BD12)/Datos!BD12," - ")</f>
        <v>1.5720889994322636E-2</v>
      </c>
      <c r="I12" s="515">
        <f>IF(ISNUMBER(((NºAsuntos!I12/NºAsuntos!G12)-Datos!BE12)/Datos!BE12),((NºAsuntos!I12/NºAsuntos!G12)-Datos!BE12)/Datos!BE12," - ")</f>
        <v>-0.16409174053749831</v>
      </c>
      <c r="J12" s="521">
        <f>IF(ISNUMBER((('Resol  Asuntos'!D12/NºAsuntos!G12)-Datos!BF12)/Datos!BF12),(('Resol  Asuntos'!D12/NºAsuntos!G12)-Datos!BF12)/Datos!BF12," - ")</f>
        <v>-0.39353884404160577</v>
      </c>
      <c r="K12" s="522">
        <f>IF(ISNUMBER((((NºAsuntos!C12+NºAsuntos!E12)/NºAsuntos!G12)-Datos!BG12)/Datos!BG12),(((NºAsuntos!C12+NºAsuntos!E12)/NºAsuntos!G12)-Datos!BG12)/Datos!BG12," - ")</f>
        <v>-9.8022308449131637E-2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-0.11794871794871795</v>
      </c>
      <c r="C14" s="1152">
        <f>IF(ISNUMBER(
   IF(J_V="SI",(Datos!J14-Datos!T14)/Datos!T14,(Datos!J14+Datos!Z14-(Datos!T14+Datos!AH14))/(Datos!T14+Datos!AH14))
     ),IF(J_V="SI",(Datos!J14-Datos!T14)/Datos!T14,(Datos!J14+Datos!Z14-(Datos!T14+Datos!AH14))/(Datos!T14+Datos!AH14))," - ")</f>
        <v>8.940852819807428E-2</v>
      </c>
      <c r="D14" s="1152">
        <f>IF(ISNUMBER(
   IF(J_V="SI",(Datos!K14-Datos!U14)/Datos!U14,(Datos!K14+Datos!AA14-(Datos!U14+Datos!AI14))/(Datos!U14+Datos!AI14))
     ),IF(J_V="SI",(Datos!K14-Datos!U14)/Datos!U14,(Datos!K14+Datos!AA14-(Datos!U14+Datos!AI14))/(Datos!U14+Datos!AI14))," - ")</f>
        <v>0.10904255319148937</v>
      </c>
      <c r="E14" s="1152">
        <f>IF(ISNUMBER(
   IF(J_V="SI",(Datos!L14-Datos!V14)/Datos!V14,(Datos!L14+Datos!AB14-(Datos!V14+Datos!AJ14))/(Datos!V14+Datos!AJ14))
     ),IF(J_V="SI",(Datos!L14-Datos!V14)/Datos!V14,(Datos!L14+Datos!AB14-(Datos!V14+Datos!AJ14))/(Datos!V14+Datos!AJ14))," - ")</f>
        <v>-8.1395348837209308E-2</v>
      </c>
      <c r="F14" s="1153">
        <f>IF(ISNUMBER((Datos!M14-Datos!W14)/Datos!W14),(Datos!M14-Datos!W14)/Datos!W14," - ")</f>
        <v>7.7720207253886009E-2</v>
      </c>
      <c r="G14" s="1154">
        <f>IF(ISNUMBER((Datos!N14-Datos!X14)/Datos!X14),(Datos!N14-Datos!X14)/Datos!X14," - ")</f>
        <v>9.7719869706840382E-3</v>
      </c>
      <c r="H14" s="1154">
        <f>IF(ISNUMBER(((NºAsuntos!G14/NºAsuntos!E14)-Datos!BD14)/Datos!BD14),((NºAsuntos!G14/NºAsuntos!E14)-Datos!BD14)/Datos!BD14," - ")</f>
        <v>1.8022646679561428E-2</v>
      </c>
      <c r="I14" s="1154">
        <f>IF(ISNUMBER(((NºAsuntos!I14/NºAsuntos!G14)-Datos!BE14)/Datos!BE14),((NºAsuntos!I14/NºAsuntos!G14)-Datos!BE14)/Datos!BE14," - ")</f>
        <v>-0.17171379175729184</v>
      </c>
      <c r="J14" s="1154">
        <f>IF(ISNUMBER((('Resol  Asuntos'!D14/NºAsuntos!G14)-Datos!BF14)/Datos!BF14),(('Resol  Asuntos'!D14/NºAsuntos!G14)-Datos!BF14)/Datos!BF14," - ")</f>
        <v>-0.38909068185191265</v>
      </c>
      <c r="K14" s="1154">
        <f>IF(ISNUMBER((((NºAsuntos!C14+NºAsuntos!E14)/NºAsuntos!G14)-Datos!BG14)/Datos!BG14),(((NºAsuntos!C14+NºAsuntos!E14)/NºAsuntos!G14)-Datos!BG14)/Datos!BG14," - ")</f>
        <v>-0.10107036322161786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0.10891089108910891</v>
      </c>
      <c r="C17" s="515">
        <f>IF(ISNUMBER(
   IF(D_I="SI",(Datos!J17-Datos!T17)/Datos!T17,(Datos!J17+Datos!AD17-(Datos!T17+Datos!AL17))/(Datos!T17+Datos!AL17))
     ),IF(D_I="SI",(Datos!J17-Datos!T17)/Datos!T17,(Datos!J17+Datos!AD17-(Datos!T17+Datos!AL17))/(Datos!T17+Datos!AL17))," - ")</f>
        <v>4.3333333333333335E-2</v>
      </c>
      <c r="D17" s="515">
        <f>IF(ISNUMBER(
   IF(D_I="SI",(Datos!K17-Datos!U17)/Datos!U17,(Datos!K17+Datos!AE17-(Datos!U17+Datos!AM17))/(Datos!U17+Datos!AM17))
     ),IF(D_I="SI",(Datos!K17-Datos!U17)/Datos!U17,(Datos!K17+Datos!AE17-(Datos!U17+Datos!AM17))/(Datos!U17+Datos!AM17))," - ")</f>
        <v>6.2068965517241378E-2</v>
      </c>
      <c r="E17" s="515">
        <f>IF(ISNUMBER(
   IF(D_I="SI",(Datos!L17-Datos!V17)/Datos!V17,(Datos!L17+Datos!AF17-(Datos!V17+Datos!AN17))/(Datos!V17+Datos!AN17))
     ),IF(D_I="SI",(Datos!L17-Datos!V17)/Datos!V17,(Datos!L17+Datos!AF17-(Datos!V17+Datos!AN17))/(Datos!V17+Datos!AN17))," - ")</f>
        <v>0.12053571428571429</v>
      </c>
      <c r="F17" s="515">
        <f>IF(ISNUMBER((Datos!M17-Datos!W17)/Datos!W17),(Datos!M17-Datos!W17)/Datos!W17," - ")</f>
        <v>-0.1797752808988764</v>
      </c>
      <c r="G17" s="516">
        <f>IF(ISNUMBER((Datos!N17-Datos!X17)/Datos!X17),(Datos!N17-Datos!X17)/Datos!X17," - ")</f>
        <v>0.22184300341296928</v>
      </c>
      <c r="H17" s="514">
        <f>IF(ISNUMBER(((NºAsuntos!G17/NºAsuntos!E17)-Datos!BD17)/Datos!BD17),((NºAsuntos!G17/NºAsuntos!E17)-Datos!BD17)/Datos!BD17," - ")</f>
        <v>1.7957474936653086E-2</v>
      </c>
      <c r="I17" s="515">
        <f>IF(ISNUMBER(((NºAsuntos!I17/NºAsuntos!G17)-Datos!BE17)/Datos!BE17),((NºAsuntos!I17/NºAsuntos!G17)-Datos!BE17)/Datos!BE17," - ")</f>
        <v>5.5049860853432324E-2</v>
      </c>
      <c r="J17" s="521">
        <f>IF(ISNUMBER((('Resol  Asuntos'!D17/NºAsuntos!G17)-Datos!BF17)/Datos!BF17),(('Resol  Asuntos'!D17/NºAsuntos!G17)-Datos!BF17)/Datos!BF17," - ")</f>
        <v>-0.22771049175543559</v>
      </c>
      <c r="K17" s="522">
        <f>IF(ISNUMBER((((NºAsuntos!C17+NºAsuntos!E17)/NºAsuntos!G17)-Datos!BG17)/Datos!BG17),(((NºAsuntos!C17+NºAsuntos!E17)/NºAsuntos!G17)-Datos!BG17)/Datos!BG17," - ")</f>
        <v>-2.0889335103798541E-3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-0.47058823529411764</v>
      </c>
      <c r="C18" s="515">
        <f>IF(ISNUMBER(
   IF(D_I="SI",(Datos!J18-Datos!T18)/Datos!T18,(Datos!J18+Datos!AD18-(Datos!T18+Datos!AL18))/(Datos!T18+Datos!AL18))
     ),IF(D_I="SI",(Datos!J18-Datos!T18)/Datos!T18,(Datos!J18+Datos!AD18-(Datos!T18+Datos!AL18))/(Datos!T18+Datos!AL18))," - ")</f>
        <v>0.14583333333333334</v>
      </c>
      <c r="D18" s="515">
        <f>IF(ISNUMBER(
   IF(D_I="SI",(Datos!K18-Datos!U18)/Datos!U18,(Datos!K18+Datos!AE18-(Datos!U18+Datos!AM18))/(Datos!U18+Datos!AM18))
     ),IF(D_I="SI",(Datos!K18-Datos!U18)/Datos!U18,(Datos!K18+Datos!AE18-(Datos!U18+Datos!AM18))/(Datos!U18+Datos!AM18))," - ")</f>
        <v>-8.9285714285714288E-2</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-0.75</v>
      </c>
      <c r="G18" s="516">
        <f>IF(ISNUMBER((Datos!N18-Datos!X18)/Datos!X18),(Datos!N18-Datos!X18)/Datos!X18," - ")</f>
        <v>1.25</v>
      </c>
      <c r="H18" s="514">
        <f>IF(ISNUMBER(((NºAsuntos!G18/NºAsuntos!E18)-Datos!BD18)/Datos!BD18),((NºAsuntos!G18/NºAsuntos!E18)-Datos!BD18)/Datos!BD18," - ")</f>
        <v>-0.20519480519480526</v>
      </c>
      <c r="I18" s="515">
        <f>IF(ISNUMBER(((NºAsuntos!I18/NºAsuntos!G18)-Datos!BE18)/Datos!BE18),((NºAsuntos!I18/NºAsuntos!G18)-Datos!BE18)/Datos!BE18," - ")</f>
        <v>0.58605664488017406</v>
      </c>
      <c r="J18" s="521">
        <f>IF(ISNUMBER((('Resol  Asuntos'!D18/NºAsuntos!G18)-Datos!BF18)/Datos!BF18),(('Resol  Asuntos'!D18/NºAsuntos!G18)-Datos!BF18)/Datos!BF18," - ")</f>
        <v>-0.72549019607843135</v>
      </c>
      <c r="K18" s="522">
        <f>IF(ISNUMBER((((NºAsuntos!C18+NºAsuntos!E18)/NºAsuntos!G18)-Datos!BG18)/Datos!BG18),(((NºAsuntos!C18+NºAsuntos!E18)/NºAsuntos!G18)-Datos!BG18)/Datos!BG18," - ")</f>
        <v>8.1146304675716333E-2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6.3926940639269403E-2</v>
      </c>
      <c r="C23" s="1152">
        <f>IF(ISNUMBER(
   IF(Criterios!B14="SI",(Datos!J23-Datos!T23)/Datos!T23,(Datos!J23+Datos!AD23-(Datos!T23+Datos!AL23))/(Datos!T23+Datos!AL23))
     ),IF(Criterios!B14="SI",(Datos!J23-Datos!T23)/Datos!T23,(Datos!J23+Datos!AD23-(Datos!T23+Datos!AL23))/(Datos!T23+Datos!AL23))," - ")</f>
        <v>5.0925925925925923E-2</v>
      </c>
      <c r="D23" s="1152">
        <f>IF(ISNUMBER(
   IF(Criterios!B14="SI",(Datos!K23-Datos!U23)/Datos!U23,(Datos!K23+Datos!AE23-(Datos!U23+Datos!AM23))/(Datos!U23+Datos!AM23))
     ),IF(Criterios!B14="SI",(Datos!K23-Datos!U23)/Datos!U23,(Datos!K23+Datos!AE23-(Datos!U23+Datos!AM23))/(Datos!U23+Datos!AM23))," - ")</f>
        <v>4.8742138364779877E-2</v>
      </c>
      <c r="E23" s="1152">
        <f>IF(ISNUMBER(
   IF(Criterios!B14="SI",(Datos!L23-Datos!V23)/Datos!V23,(Datos!L23+Datos!AF23-(Datos!V23+Datos!AN23))/(Datos!V23+Datos!AN23))
     ),IF(Criterios!B14="SI",(Datos!L23-Datos!V23)/Datos!V23,(Datos!L23+Datos!AF23-(Datos!V23+Datos!AN23))/(Datos!V23+Datos!AN23))," - ")</f>
        <v>0.13304721030042918</v>
      </c>
      <c r="F23" s="1153">
        <f>IF(ISNUMBER((Datos!M23-Datos!W23)/Datos!W23),(Datos!M23-Datos!W23)/Datos!W23," - ")</f>
        <v>-0.20430107526881722</v>
      </c>
      <c r="G23" s="1154">
        <f>IF(ISNUMBER((Datos!N23-Datos!X23)/Datos!X23),(Datos!N23-Datos!X23)/Datos!X23," - ")</f>
        <v>0.27508090614886732</v>
      </c>
      <c r="H23" s="1154">
        <f>IF(ISNUMBER(((NºAsuntos!G23/NºAsuntos!E23)-Datos!BD23)/Datos!BD23),((NºAsuntos!G23/NºAsuntos!E23)-Datos!BD23)/Datos!BD23," - ")</f>
        <v>-2.0779652564209914E-3</v>
      </c>
      <c r="I23" s="1154">
        <f>IF(ISNUMBER(((NºAsuntos!I23/NºAsuntos!G23)-Datos!BE23)/Datos!BE23),((NºAsuntos!I23/NºAsuntos!G23)-Datos!BE23)/Datos!BE23," - ")</f>
        <v>8.0386845204007573E-2</v>
      </c>
      <c r="J23" s="1154">
        <f>IF(ISNUMBER((('Resol  Asuntos'!D23/NºAsuntos!G23)-Datos!BF23)/Datos!BF23),(('Resol  Asuntos'!D23/NºAsuntos!G23)-Datos!BF23)/Datos!BF23," - ")</f>
        <v>-0.24128258451419449</v>
      </c>
      <c r="K23" s="1154">
        <f>IF(ISNUMBER((((NºAsuntos!C23+NºAsuntos!E23)/NºAsuntos!G23)-Datos!BG23)/Datos!BG23),(((NºAsuntos!C23+NºAsuntos!E23)/NºAsuntos!G23)-Datos!BG23)/Datos!BG23," - ")</f>
        <v>5.2136561477046893E-3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-6.8407960199004969E-2</v>
      </c>
      <c r="C31" s="1092">
        <f>IF(ISNUMBER(
   IF(J_V="SI",(Datos!J31-Datos!T31)/Datos!T31,(Datos!J31+Datos!Z31-(Datos!T31+Datos!AH31))/(Datos!T31+Datos!AH31))
     ),IF(J_V="SI",(Datos!J31-Datos!T31)/Datos!T31,(Datos!J31+Datos!Z31-(Datos!T31+Datos!AH31))/(Datos!T31+Datos!AH31))," - ")</f>
        <v>7.1272727272727279E-2</v>
      </c>
      <c r="D31" s="1092">
        <f>IF(ISNUMBER(
   IF(J_V="SI",(Datos!K31-Datos!U31)/Datos!U31,(Datos!K31+Datos!AA31-(Datos!U31+Datos!AI31))/(Datos!U31+Datos!AI31))
     ),IF(J_V="SI",(Datos!K31-Datos!U31)/Datos!U31,(Datos!K31+Datos!AA31-(Datos!U31+Datos!AI31))/(Datos!U31+Datos!AI31))," - ")</f>
        <v>8.1412103746397693E-2</v>
      </c>
      <c r="E31" s="1092">
        <f>IF(ISNUMBER(
   IF(J_V="SI",(Datos!L31-Datos!V31)/Datos!V31,(Datos!L31+Datos!AB31-(Datos!V31+Datos!AJ31))/(Datos!V31+Datos!AJ31))
     ),IF(J_V="SI",(Datos!L31-Datos!V31)/Datos!V31,(Datos!L31+Datos!AB31-(Datos!V31+Datos!AJ31))/(Datos!V31+Datos!AJ31))," - ")</f>
        <v>-1.4686248331108143E-2</v>
      </c>
      <c r="F31" s="1093">
        <f>IF(ISNUMBER((Datos!M31-Datos!W31)/Datos!W31),(Datos!M31-Datos!W31)/Datos!W31," - ")</f>
        <v>-1.3986013986013986E-2</v>
      </c>
      <c r="G31" s="1094">
        <f>IF(ISNUMBER((Datos!N31-Datos!X31)/Datos!X31),(Datos!N31-Datos!X31)/Datos!X31," - ")</f>
        <v>0.14285714285714285</v>
      </c>
      <c r="H31" s="1095">
        <f>IF(ISNUMBER((Tasas!B31-Datos!BD31)/Datos!BD31),(Tasas!B31-Datos!BD31)/Datos!BD31," - ")</f>
        <v>9.4647947395091279E-3</v>
      </c>
      <c r="I31" s="1096">
        <f>IF(ISNUMBER((Tasas!C31-Datos!BE31)/Datos!BE31),(Tasas!C31-Datos!BE31)/Datos!BE31," - ")</f>
        <v>-8.8863765945088602E-2</v>
      </c>
      <c r="J31" s="1097">
        <f>IF(ISNUMBER((Tasas!D31-Datos!BF31)/Datos!BF31),(Tasas!D31-Datos!BF31)/Datos!BF31," - ")</f>
        <v>-0.34807461692205194</v>
      </c>
      <c r="K31" s="1097">
        <f>IF(ISNUMBER((Tasas!E31-Datos!BG31)/Datos!BG31),(Tasas!E31-Datos!BG31)/Datos!BG31," - ")</f>
        <v>-5.7034945954647323E-2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ZLn3ATk/3sK/I+T7Scuz6FnsisFqFWGJ7AKAp/8RXsGF1k2IteED10yUSx3XfIw2LK1PAhUqFwBQeWwJsAEMw==" saltValue="HJLms8vp6AiOswJKqoEi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VILLAVICIOSA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1.0520965692503177</v>
      </c>
      <c r="C12" s="498">
        <f>IF(ISNUMBER(NºAsuntos!I12/NºAsuntos!G12),NºAsuntos!I12/NºAsuntos!G12," - ")</f>
        <v>0.57246376811594202</v>
      </c>
      <c r="D12" s="499">
        <f>IF(ISNUMBER('Resol  Asuntos'!D12/NºAsuntos!G12),'Resol  Asuntos'!D12/NºAsuntos!G12," - ")</f>
        <v>0.24758454106280192</v>
      </c>
      <c r="E12" s="500">
        <f>IF(ISNUMBER((NºAsuntos!C12+NºAsuntos!E12)/NºAsuntos!G12),(NºAsuntos!C12+NºAsuntos!E12)/NºAsuntos!G12," - ")</f>
        <v>1.5724637681159421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1.053030303030303</v>
      </c>
      <c r="C14" s="1156">
        <f>IF(ISNUMBER(NºAsuntos!I14/NºAsuntos!G14),NºAsuntos!I14/NºAsuntos!G14," - ")</f>
        <v>0.56834532374100721</v>
      </c>
      <c r="D14" s="1157">
        <f>IF(ISNUMBER('Resol  Asuntos'!D14/NºAsuntos!G14),'Resol  Asuntos'!D14/NºAsuntos!G14," - ")</f>
        <v>0.24940047961630696</v>
      </c>
      <c r="E14" s="1158">
        <f>IF(ISNUMBER((NºAsuntos!C14+NºAsuntos!E14)/NºAsuntos!G14),(NºAsuntos!C14+NºAsuntos!E14)/NºAsuntos!G14," - ")</f>
        <v>1.5683453237410072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0.98402555910543132</v>
      </c>
      <c r="C17" s="498">
        <f>IF(ISNUMBER(NºAsuntos!I17/NºAsuntos!G17),NºAsuntos!I17/NºAsuntos!G17," - ")</f>
        <v>0.40746753246753248</v>
      </c>
      <c r="D17" s="499">
        <f>IF(ISNUMBER('Resol  Asuntos'!D17/NºAsuntos!G17),'Resol  Asuntos'!D17/NºAsuntos!G17," - ")</f>
        <v>0.1185064935064935</v>
      </c>
      <c r="E17" s="500">
        <f>IF(ISNUMBER((NºAsuntos!C17+NºAsuntos!E17)/NºAsuntos!G17),(NºAsuntos!C17+NºAsuntos!E17)/NºAsuntos!G17," - ")</f>
        <v>1.3798701298701299</v>
      </c>
      <c r="G17" s="523"/>
    </row>
    <row r="18" spans="1:7">
      <c r="A18" s="450" t="str">
        <f>Datos!A18</f>
        <v>Jdos. Violencia contra la mujer</v>
      </c>
      <c r="B18" s="497">
        <f>IF(ISNUMBER(NºAsuntos!G18/NºAsuntos!E18),NºAsuntos!G18/NºAsuntos!E18," - ")</f>
        <v>0.92727272727272725</v>
      </c>
      <c r="C18" s="498">
        <f>IF(ISNUMBER(NºAsuntos!I18/NºAsuntos!G18),NºAsuntos!I18/NºAsuntos!G18," - ")</f>
        <v>0.25490196078431371</v>
      </c>
      <c r="D18" s="499">
        <f>IF(ISNUMBER('Resol  Asuntos'!D18/NºAsuntos!G18),'Resol  Asuntos'!D18/NºAsuntos!G18," - ")</f>
        <v>1.9607843137254902E-2</v>
      </c>
      <c r="E18" s="500">
        <f>IF(ISNUMBER((NºAsuntos!C18+NºAsuntos!E18)/NºAsuntos!G18),(NºAsuntos!C18+NºAsuntos!E18)/NºAsuntos!G18," - ")</f>
        <v>1.2549019607843137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0.97944199706314239</v>
      </c>
      <c r="C23" s="1156">
        <f>IF(ISNUMBER(NºAsuntos!I23/NºAsuntos!G23),NºAsuntos!I23/NºAsuntos!G23," - ")</f>
        <v>0.39580209895052476</v>
      </c>
      <c r="D23" s="1159">
        <f>IF(ISNUMBER('Resol  Asuntos'!D23/NºAsuntos!G23),'Resol  Asuntos'!D23/NºAsuntos!G23," - ")</f>
        <v>0.11094452773613193</v>
      </c>
      <c r="E23" s="1158">
        <f>IF(ISNUMBER((NºAsuntos!C23+NºAsuntos!E23)/NºAsuntos!G23),(NºAsuntos!C23+NºAsuntos!E23)/NºAsuntos!G23," - ")</f>
        <v>1.3703148425787106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1.0190088255261371</v>
      </c>
      <c r="C31" s="1099">
        <f>IF(ISNUMBER(NºAsuntos!I31/NºAsuntos!G31),NºAsuntos!I31/NºAsuntos!G31," - ")</f>
        <v>0.49167221852098603</v>
      </c>
      <c r="D31" s="1100">
        <f>IF(ISNUMBER('Resol  Asuntos'!D31/NºAsuntos!G31),'Resol  Asuntos'!D31/NºAsuntos!G31," - ")</f>
        <v>0.18787475016655564</v>
      </c>
      <c r="E31" s="1101">
        <f>IF(ISNUMBER((NºAsuntos!C31+NºAsuntos!E31)/NºAsuntos!G31),(NºAsuntos!C31+NºAsuntos!E31)/NºAsuntos!G31," - ")</f>
        <v>1.4803464357095271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x74Est2UEbBHyPF2nkzMs8dOUBS4IYAp80LI1e56CoE3ZojqKR+8Z2JyXyMkX6LmYO2M2nUgUI1Nv5IrkiS0Q==" saltValue="G1PecDNM7he4T308MLKx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VILLAVICIOSA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375</v>
      </c>
      <c r="Y12" s="374">
        <f t="shared" si="0"/>
        <v>375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205</v>
      </c>
      <c r="AJ12" s="243" t="str">
        <f>IF(ISNUMBER(Datos!BW12),Datos!BW12," - ")</f>
        <v xml:space="preserve"> - </v>
      </c>
      <c r="AK12" s="242" t="str">
        <f>IF(ISNUMBER(Datos!BX12),Datos!BX12," - ")</f>
        <v xml:space="preserve"> - </v>
      </c>
      <c r="AL12" s="266">
        <f>IF(ISNUMBER(NºAsuntos!G12/NºAsuntos!E12),NºAsuntos!G12/NºAsuntos!E12," - ")</f>
        <v>1.0520965692503177</v>
      </c>
      <c r="AM12" s="284">
        <f>IF(ISNUMBER(((NºAsuntos!I12/NºAsuntos!G12)*11)/factor_trimestre),((NºAsuntos!I12/NºAsuntos!G12)*11)/factor_trimestre," - ")</f>
        <v>6.2971014492753623</v>
      </c>
      <c r="AN12" s="267">
        <f>IF(ISNUMBER('Resol  Asuntos'!D12/NºAsuntos!G12),'Resol  Asuntos'!D12/NºAsuntos!G12," - ")</f>
        <v>0.24758454106280192</v>
      </c>
      <c r="AO12" s="268">
        <f>IF(ISNUMBER((NºAsuntos!C12+NºAsuntos!E12)/NºAsuntos!G12),(NºAsuntos!C12+NºAsuntos!E12)/NºAsuntos!G12," - ")</f>
        <v>1.5724637681159421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375</v>
      </c>
      <c r="Y14" s="1165">
        <f t="shared" si="6"/>
        <v>381</v>
      </c>
      <c r="Z14" s="1165">
        <f t="shared" si="6"/>
        <v>0</v>
      </c>
      <c r="AA14" s="1165">
        <f t="shared" si="6"/>
        <v>0</v>
      </c>
      <c r="AB14" s="1165">
        <f t="shared" si="6"/>
        <v>768</v>
      </c>
      <c r="AC14" s="1165">
        <f t="shared" si="6"/>
        <v>0</v>
      </c>
      <c r="AD14" s="1165">
        <f t="shared" si="6"/>
        <v>0</v>
      </c>
      <c r="AE14" s="1169">
        <f t="shared" si="6"/>
        <v>0</v>
      </c>
      <c r="AF14" s="1162">
        <f t="shared" si="6"/>
        <v>0</v>
      </c>
      <c r="AG14" s="1170">
        <f t="shared" si="6"/>
        <v>0</v>
      </c>
      <c r="AH14" s="1167">
        <f t="shared" si="6"/>
        <v>0</v>
      </c>
      <c r="AI14" s="1162">
        <f t="shared" si="6"/>
        <v>208</v>
      </c>
      <c r="AJ14" s="1164">
        <f t="shared" si="6"/>
        <v>0</v>
      </c>
      <c r="AK14" s="1167">
        <f>SUBTOTAL(9,AK9:AK13)</f>
        <v>0</v>
      </c>
      <c r="AL14" s="1171">
        <f>IF(ISNUMBER(NºAsuntos!G14/NºAsuntos!E14),NºAsuntos!G14/NºAsuntos!E14," - ")</f>
        <v>1.053030303030303</v>
      </c>
      <c r="AM14" s="1171">
        <f>IF(ISNUMBER(((NºAsuntos!I14/NºAsuntos!G14)*11)/factor_trimestre),((NºAsuntos!I14/NºAsuntos!G14)*11)/factor_trimestre," - ")</f>
        <v>6.2517985611510793</v>
      </c>
      <c r="AN14" s="1172">
        <f>IF(ISNUMBER('Resol  Asuntos'!D14/NºAsuntos!G14),'Resol  Asuntos'!D14/NºAsuntos!G14," - ")</f>
        <v>0.24940047961630696</v>
      </c>
      <c r="AO14" s="1173">
        <f>IF(ISNUMBER((NºAsuntos!C14+NºAsuntos!E14)/NºAsuntos!G14),(NºAsuntos!C14+NºAsuntos!E14)/NºAsuntos!G14," - ")</f>
        <v>1.5683453237410072</v>
      </c>
      <c r="AP14" s="1174" t="str">
        <f t="shared" si="2"/>
        <v xml:space="preserve"> - </v>
      </c>
      <c r="AQ14" s="1174">
        <f>IF(ISNUMBER((H14-W14+K14)/(F14)),(H14-W14+K14)/(F14)," - ")</f>
        <v>-6</v>
      </c>
      <c r="AR14" s="1175">
        <f>IF(ISNUMBER((Datos!P14-Datos!Q14)/(Datos!R14-Datos!P14+Datos!Q14)),(Datos!P14-Datos!Q14)/(Datos!R14-Datos!P14+Datos!Q14)," - ")</f>
        <v>-0.19665271966527198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241</v>
      </c>
      <c r="G17" s="373">
        <f>IF(ISNUMBER(IF(D_I="SI",Datos!I17,Datos!I17+Datos!AC17)),IF(D_I="SI",Datos!I17,Datos!I17+Datos!AC17)," - ")</f>
        <v>224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616</v>
      </c>
      <c r="X17" s="240">
        <f>IF(ISNUMBER(Datos!Q17),Datos!Q17," - ")</f>
        <v>38</v>
      </c>
      <c r="Y17" s="374">
        <f t="shared" ref="Y17:Y22" si="9">SUM(W17:X17)</f>
        <v>654</v>
      </c>
      <c r="Z17" s="375" t="str">
        <f>IF(ISNUMBER(Datos!CC17),Datos!CC17," - ")</f>
        <v xml:space="preserve"> - </v>
      </c>
      <c r="AA17" s="372">
        <f>IF(ISNUMBER(IF(D_I="SI",Datos!L17,Datos!L17+Datos!AF17)),IF(D_I="SI",Datos!L17,Datos!L17+Datos!AF17)," - ")</f>
        <v>251</v>
      </c>
      <c r="AB17" s="374">
        <f>IF(ISNUMBER(Datos!R17),Datos!R17," - ")</f>
        <v>33</v>
      </c>
      <c r="AC17" s="374">
        <f t="shared" si="8"/>
        <v>284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v>
      </c>
      <c r="AJ17" s="245" t="str">
        <f>IF(ISNUMBER(Datos!BW17),Datos!BW17," - ")</f>
        <v xml:space="preserve"> - </v>
      </c>
      <c r="AK17" s="246" t="str">
        <f>IF(ISNUMBER(Datos!BX17),Datos!BX17," - ")</f>
        <v xml:space="preserve"> - </v>
      </c>
      <c r="AL17" s="266">
        <f>IF(ISNUMBER(NºAsuntos!G17/NºAsuntos!E17),NºAsuntos!G17/NºAsuntos!E17," - ")</f>
        <v>0.98402555910543132</v>
      </c>
      <c r="AM17" s="284">
        <f>IF(ISNUMBER(((NºAsuntos!I17/NºAsuntos!G17)*11)/factor_trimestre),((NºAsuntos!I17/NºAsuntos!G17)*11)/factor_trimestre," - ")</f>
        <v>4.4821428571428577</v>
      </c>
      <c r="AN17" s="267">
        <f>IF(ISNUMBER('Resol  Asuntos'!D17/NºAsuntos!G17),'Resol  Asuntos'!D17/NºAsuntos!G17," - ")</f>
        <v>0.1185064935064935</v>
      </c>
      <c r="AO17" s="268">
        <f>IF(ISNUMBER((NºAsuntos!C17+NºAsuntos!E17)/NºAsuntos!G17),(NºAsuntos!C17+NºAsuntos!E17)/NºAsuntos!G17," - ")</f>
        <v>1.3798701298701299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0.92727272727272725</v>
      </c>
      <c r="AM18" s="284">
        <f>IF(ISNUMBER(((NºAsuntos!I18/NºAsuntos!G18)*11)/factor_trimestre),((NºAsuntos!I18/NºAsuntos!G18)*11)/factor_trimestre," - ")</f>
        <v>2.8039215686274508</v>
      </c>
      <c r="AN18" s="267">
        <f>IF(ISNUMBER('Resol  Asuntos'!D18/NºAsuntos!G18),'Resol  Asuntos'!D18/NºAsuntos!G18," - ")</f>
        <v>1.9607843137254902E-2</v>
      </c>
      <c r="AO18" s="268">
        <f>IF(ISNUMBER((NºAsuntos!C18+NºAsuntos!E18)/NºAsuntos!G18),(NºAsuntos!C18+NºAsuntos!E18)/NºAsuntos!G18," - ")</f>
        <v>1.2549019607843137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241</v>
      </c>
      <c r="G23" s="1163">
        <f>SUBTOTAL(9,G16:G22)</f>
        <v>233</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667</v>
      </c>
      <c r="X23" s="1164">
        <f t="shared" si="14"/>
        <v>38</v>
      </c>
      <c r="Y23" s="1165">
        <f t="shared" si="14"/>
        <v>705</v>
      </c>
      <c r="Z23" s="1165">
        <f t="shared" si="14"/>
        <v>0</v>
      </c>
      <c r="AA23" s="1165">
        <f t="shared" si="14"/>
        <v>264</v>
      </c>
      <c r="AB23" s="1165">
        <f t="shared" si="14"/>
        <v>33</v>
      </c>
      <c r="AC23" s="1165">
        <f t="shared" si="14"/>
        <v>297</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0.97944199706314239</v>
      </c>
      <c r="AM23" s="1171">
        <f>IF(ISNUMBER(((NºAsuntos!I23/NºAsuntos!G23)*11)/factor_trimestre),((NºAsuntos!I23/NºAsuntos!G23)*11)/factor_trimestre," - ")</f>
        <v>4.3538230884557727</v>
      </c>
      <c r="AN23" s="1172">
        <f>IF(ISNUMBER('Resol  Asuntos'!D23/NºAsuntos!G23),'Resol  Asuntos'!D23/NºAsuntos!G23," - ")</f>
        <v>0.11094452773613193</v>
      </c>
      <c r="AO23" s="1173">
        <f>IF(ISNUMBER((NºAsuntos!C23+NºAsuntos!E23)/NºAsuntos!G23),(NºAsuntos!C23+NºAsuntos!E23)/NºAsuntos!G23," - ")</f>
        <v>1.3703148425787106</v>
      </c>
      <c r="AP23" s="1174" t="str">
        <f t="shared" si="2"/>
        <v xml:space="preserve"> - </v>
      </c>
      <c r="AQ23" s="1174">
        <f>IF(ISNUMBER((H23-W23+K23)/(F23)),(H23-W23+K23)/(F23)," - ")</f>
        <v>-2.7676348547717842</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242</v>
      </c>
      <c r="G31" s="1118">
        <f t="shared" si="20"/>
        <v>234</v>
      </c>
      <c r="H31" s="1117">
        <f t="shared" si="20"/>
        <v>0</v>
      </c>
      <c r="I31" s="1119">
        <f t="shared" si="20"/>
        <v>0</v>
      </c>
      <c r="J31" s="1119">
        <f t="shared" si="20"/>
        <v>0</v>
      </c>
      <c r="K31" s="1180">
        <f t="shared" si="20"/>
        <v>0</v>
      </c>
      <c r="L31" s="1119">
        <f t="shared" si="20"/>
        <v>216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673</v>
      </c>
      <c r="X31" s="1118">
        <f t="shared" si="21"/>
        <v>413</v>
      </c>
      <c r="Y31" s="1125">
        <f t="shared" si="21"/>
        <v>1086</v>
      </c>
      <c r="Z31" s="1125">
        <f t="shared" si="21"/>
        <v>0</v>
      </c>
      <c r="AA31" s="1125">
        <f t="shared" si="21"/>
        <v>264</v>
      </c>
      <c r="AB31" s="1125">
        <f t="shared" si="21"/>
        <v>801</v>
      </c>
      <c r="AC31" s="1125">
        <f t="shared" si="21"/>
        <v>297</v>
      </c>
      <c r="AD31" s="1125">
        <f t="shared" si="21"/>
        <v>0</v>
      </c>
      <c r="AE31" s="1127">
        <f t="shared" si="21"/>
        <v>0</v>
      </c>
      <c r="AF31" s="1128">
        <f t="shared" si="21"/>
        <v>0</v>
      </c>
      <c r="AG31" s="1129">
        <f t="shared" si="21"/>
        <v>0</v>
      </c>
      <c r="AH31" s="1127">
        <f t="shared" si="21"/>
        <v>0</v>
      </c>
      <c r="AI31" s="1117">
        <f t="shared" si="21"/>
        <v>282</v>
      </c>
      <c r="AJ31" s="1117">
        <f t="shared" si="21"/>
        <v>0</v>
      </c>
      <c r="AK31" s="1127">
        <f t="shared" si="21"/>
        <v>0</v>
      </c>
      <c r="AL31" s="1183">
        <f>IF(ISNUMBER(NºAsuntos!G31/NºAsuntos!E31),NºAsuntos!G31/NºAsuntos!E31," - ")</f>
        <v>1.0190088255261371</v>
      </c>
      <c r="AM31" s="1184">
        <f>IF(ISNUMBER(((NºAsuntos!I31/NºAsuntos!G31)*11)/factor_trimestre),((NºAsuntos!I31/NºAsuntos!G31)*11)/factor_trimestre," - ")</f>
        <v>5.4083944037308465</v>
      </c>
      <c r="AN31" s="1184">
        <f>IF(ISNUMBER('Resol  Asuntos'!D31/NºAsuntos!G31),'Resol  Asuntos'!D31/NºAsuntos!G31," - ")</f>
        <v>0.18787475016655564</v>
      </c>
      <c r="AO31" s="1185">
        <f>IF(ISNUMBER((NºAsuntos!C31+NºAsuntos!E31)/NºAsuntos!G31),(NºAsuntos!C31+NºAsuntos!E31)/NºAsuntos!G31," - ")</f>
        <v>1.4803464357095271</v>
      </c>
      <c r="AP31" s="1186" t="str">
        <f t="shared" si="2"/>
        <v xml:space="preserve"> - </v>
      </c>
      <c r="AQ31" s="1187">
        <f>IF(OR(ISNUMBER(FIND("01",Criterios!A8,1)),ISNUMBER(FIND("02",Criterios!A8,1)),ISNUMBER(FIND("03",Criterios!A8,1)),ISNUMBER(FIND("04",Criterios!A8,1))),(I31-W31+K31)/(F31-K31),(H31-W31+K31)/(F31-K31))</f>
        <v>-2.78099173553719</v>
      </c>
      <c r="AR31" s="1188">
        <f>IF(ISNUMBER((Datos!P31-Datos!Q31)/(Datos!R31-Datos!P31+Datos!Q31)),(Datos!P31-Datos!Q31)/(Datos!R31-Datos!P31+Datos!Q31)," - ")</f>
        <v>-0.19739478957915832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124.19447115981721</v>
      </c>
      <c r="G33" s="277">
        <f>IF(ISNUMBER(STDEV(G8:G30)),STDEV(G8:G30),"-")</f>
        <v>110.49800687709043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307.73403792112128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89.715423104710055</v>
      </c>
      <c r="AJ33" s="276">
        <f t="shared" si="25"/>
        <v>0</v>
      </c>
      <c r="AK33" s="278">
        <f t="shared" si="25"/>
        <v>0</v>
      </c>
      <c r="AL33" s="273">
        <f t="shared" si="25"/>
        <v>9.4972991490948983E-2</v>
      </c>
      <c r="AM33" s="274">
        <f t="shared" si="25"/>
        <v>2.3719016772750301</v>
      </c>
      <c r="AN33" s="274">
        <f t="shared" si="25"/>
        <v>0.16820508615433252</v>
      </c>
      <c r="AO33" s="275">
        <f t="shared" si="25"/>
        <v>0.2143185894352235</v>
      </c>
      <c r="AP33" s="317" t="str">
        <f t="shared" si="25"/>
        <v>-</v>
      </c>
      <c r="AQ33" s="318">
        <f t="shared" si="25"/>
        <v>2.2856273134619092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8U7HloDFVz1Eq7feVJCoLK09AtICbOBt1suAyN55Q35IrUKsRWF/1f0FkcWK+J3bnC1qbhKG6VUjPRpUYRD4gA==" saltValue="QTQiA2CEZHtnpEqgmXBp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VILLAVICIOSA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4</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6.2176165803108807E-2</v>
      </c>
      <c r="I12" s="395">
        <f>IF(ISNUMBER((Tasas!C12-Datos!BE12)/Datos!BE12),(Tasas!C12-Datos!BE12)/Datos!BE12," - ")</f>
        <v>-0.16409174053749831</v>
      </c>
      <c r="J12" s="394">
        <f>IF(ISNUMBER((Tasas!D12-Datos!BF12)/Datos!BF12),(Tasas!D12-Datos!BF12)/Datos!BF12," - ")</f>
        <v>-0.39353884404160577</v>
      </c>
      <c r="K12" s="396">
        <f>IF(ISNUMBER((Tasas!E12-Datos!BG12)/Datos!BG12),(Tasas!E12-Datos!BG12)/Datos!BG12," - ")</f>
        <v>-9.8022308449131637E-2</v>
      </c>
      <c r="M12" t="e">
        <f>IF(Monitorios="SI",Datos!CE12,0)</f>
        <v>#REF!</v>
      </c>
      <c r="N12" t="e">
        <f>IF(Monitorios="SI",Datos!CF12,0)</f>
        <v>#REF!</v>
      </c>
      <c r="O12" t="e">
        <f>IF(Monitorios="SI",Datos!CG12,0)</f>
        <v>#REF!</v>
      </c>
      <c r="P12" t="e">
        <f>IF(Monitorios="SI",Datos!CH12,0)</f>
        <v>#REF!</v>
      </c>
      <c r="Q12">
        <f>IF(J_V="SI",0,Datos!AG12)</f>
        <v>32</v>
      </c>
      <c r="R12">
        <f>IF(J_V="SI",0,Datos!AH12)</f>
        <v>64</v>
      </c>
      <c r="S12">
        <f>IF(J_V="SI",0,Datos!AI12)</f>
        <v>66</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7.7720207253886009E-2</v>
      </c>
      <c r="I14" s="402">
        <f>IF(ISNUMBER((Tasas!C14-Datos!BE14)/Datos!BE14),(Tasas!C14-Datos!BE14)/Datos!BE14," - ")</f>
        <v>-0.17171379175729184</v>
      </c>
      <c r="J14" s="400">
        <f>IF(ISNUMBER((Tasas!D14-Datos!BF14)/Datos!BF14),(Tasas!D14-Datos!BF14)/Datos!BF14," - ")</f>
        <v>-0.38909068185191265</v>
      </c>
      <c r="K14" s="403">
        <f>IF(ISNUMBER((Tasas!E14-Datos!BG14)/Datos!BG14),(Tasas!E14-Datos!BG14)/Datos!BG14," - ")</f>
        <v>-0.10107036322161786</v>
      </c>
      <c r="M14" t="e">
        <f>IF(Monitorios="SI",Datos!CE14,0)</f>
        <v>#REF!</v>
      </c>
      <c r="N14" t="e">
        <f>IF(Monitorios="SI",Datos!CF14,0)</f>
        <v>#REF!</v>
      </c>
      <c r="O14" t="e">
        <f>IF(Monitorios="SI",Datos!CG14,0)</f>
        <v>#REF!</v>
      </c>
      <c r="P14" t="e">
        <f>IF(Monitorios="SI",Datos!CH14,0)</f>
        <v>#REF!</v>
      </c>
      <c r="Q14">
        <f>IF(J_V="SI",0,Datos!AG14)</f>
        <v>32</v>
      </c>
      <c r="R14">
        <f>IF(J_V="SI",0,Datos!AH14)</f>
        <v>64</v>
      </c>
      <c r="S14">
        <f>IF(J_V="SI",0,Datos!AI14)</f>
        <v>66</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0.10891089108910891</v>
      </c>
      <c r="E17" s="393">
        <f>IF(ISNUMBER(
   IF(D_I="SI",(Datos!J17-Datos!T17)/Datos!T17,(Datos!J17+Datos!AD17-(Datos!T17+Datos!AL17))/(Datos!T17+Datos!AL17))
     ),IF(D_I="SI",(Datos!J17-Datos!T17)/Datos!T17,(Datos!J17+Datos!AD17-(Datos!T17+Datos!AL17))/(Datos!T17+Datos!AL17))," - ")</f>
        <v>4.3333333333333335E-2</v>
      </c>
      <c r="F17" s="393">
        <f>IF(ISNUMBER(
   IF(D_I="SI",(Datos!K17-Datos!U17)/Datos!U17,(Datos!K17+Datos!AE17-(Datos!U17+Datos!AM17))/(Datos!U17+Datos!AM17))
     ),IF(D_I="SI",(Datos!K17-Datos!U17)/Datos!U17,(Datos!K17+Datos!AE17-(Datos!U17+Datos!AM17))/(Datos!U17+Datos!AM17))," - ")</f>
        <v>6.2068965517241378E-2</v>
      </c>
      <c r="G17" s="394">
        <f>IF(ISNUMBER(
   IF(D_I="SI",(Datos!L17-Datos!V17)/Datos!V17,(Datos!L17+Datos!AF17-(Datos!V17+Datos!AN17))/(Datos!V17+Datos!AN17))
     ),IF(D_I="SI",(Datos!L17-Datos!V17)/Datos!V17,(Datos!L17+Datos!AF17-(Datos!V17+Datos!AN17))/(Datos!V17+Datos!AN17))," - ")</f>
        <v>0.12053571428571429</v>
      </c>
      <c r="H17" s="244">
        <f>IF(ISNUMBER((Datos!M17-Datos!W17)/Datos!W17),(Datos!M17-Datos!W17)/Datos!W17," - ")</f>
        <v>-0.1797752808988764</v>
      </c>
      <c r="I17" s="395">
        <f>IF(ISNUMBER((Tasas!C17-Datos!BE17)/Datos!BE17),(Tasas!C17-Datos!BE17)/Datos!BE17," - ")</f>
        <v>5.5049860853432324E-2</v>
      </c>
      <c r="J17" s="394">
        <f>IF(ISNUMBER((Tasas!D17-Datos!BF17)/Datos!BF17),(Tasas!D17-Datos!BF17)/Datos!BF17," - ")</f>
        <v>-0.22771049175543559</v>
      </c>
      <c r="K17" s="396">
        <f>IF(ISNUMBER((Tasas!E17-Datos!BG17)/Datos!BG17),(Tasas!E17-Datos!BG17)/Datos!BG17," - ")</f>
        <v>-2.0889335103798541E-3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-0.47058823529411764</v>
      </c>
      <c r="E18" s="393">
        <f>IF(ISNUMBER(
   IF(D_I="SI",(Datos!J18-Datos!T18)/Datos!T18,(Datos!J18+Datos!AD18-(Datos!T18+Datos!AL18))/(Datos!T18+Datos!AL18))
     ),IF(D_I="SI",(Datos!J18-Datos!T18)/Datos!T18,(Datos!J18+Datos!AD18-(Datos!T18+Datos!AL18))/(Datos!T18+Datos!AL18))," - ")</f>
        <v>0.14583333333333334</v>
      </c>
      <c r="F18" s="393">
        <f>IF(ISNUMBER(
   IF(D_I="SI",(Datos!K18-Datos!U18)/Datos!U18,(Datos!K18+Datos!AE18-(Datos!U18+Datos!AM18))/(Datos!U18+Datos!AM18))
     ),IF(D_I="SI",(Datos!K18-Datos!U18)/Datos!U18,(Datos!K18+Datos!AE18-(Datos!U18+Datos!AM18))/(Datos!U18+Datos!AM18))," - ")</f>
        <v>-8.9285714285714288E-2</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-0.75</v>
      </c>
      <c r="I18" s="395">
        <f>IF(ISNUMBER((Tasas!C18-Datos!BE18)/Datos!BE18),(Tasas!C18-Datos!BE18)/Datos!BE18," - ")</f>
        <v>0.58605664488017406</v>
      </c>
      <c r="J18" s="394">
        <f>IF(ISNUMBER((Tasas!D18-Datos!BF18)/Datos!BF18),(Tasas!D18-Datos!BF18)/Datos!BF18," - ")</f>
        <v>-0.72549019607843135</v>
      </c>
      <c r="K18" s="396">
        <f>IF(ISNUMBER((Tasas!E18-Datos!BG18)/Datos!BG18),(Tasas!E18-Datos!BG18)/Datos!BG18," - ")</f>
        <v>8.1146304675716333E-2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6.3926940639269403E-2</v>
      </c>
      <c r="E23" s="399">
        <f>IF(ISNUMBER(
   IF(D_I="SI",(Datos!J23-Datos!T23)/Datos!T23,(Datos!J23+Datos!AD23-(Datos!T23+Datos!AL23))/(Datos!T23+Datos!AL23))
     ),IF(D_I="SI",(Datos!J23-Datos!T23)/Datos!T23,(Datos!J23+Datos!AD23-(Datos!T23+Datos!AL23))/(Datos!T23+Datos!AL23))," - ")</f>
        <v>5.0925925925925923E-2</v>
      </c>
      <c r="F23" s="399">
        <f>IF(ISNUMBER(
   IF(D_I="SI",(Datos!K23-Datos!U23)/Datos!U23,(Datos!K23+Datos!AE23-(Datos!U23+Datos!AM23))/(Datos!U23+Datos!AM23))
     ),IF(D_I="SI",(Datos!K23-Datos!U23)/Datos!U23,(Datos!K23+Datos!AE23-(Datos!U23+Datos!AM23))/(Datos!U23+Datos!AM23))," - ")</f>
        <v>4.8742138364779877E-2</v>
      </c>
      <c r="G23" s="400">
        <f>IF(ISNUMBER(
   IF(D_I="SI",(Datos!L23-Datos!V23)/Datos!V23,(Datos!L23+Datos!AF23-(Datos!V23+Datos!AN23))/(Datos!V23+Datos!AN23))
     ),IF(D_I="SI",(Datos!L23-Datos!V23)/Datos!V23,(Datos!L23+Datos!AF23-(Datos!V23+Datos!AN23))/(Datos!V23+Datos!AN23))," - ")</f>
        <v>0.13304721030042918</v>
      </c>
      <c r="H23" s="401">
        <f>IF(ISNUMBER((Datos!M23-Datos!W23)/Datos!W23),(Datos!M23-Datos!W23)/Datos!W23," - ")</f>
        <v>-0.20430107526881722</v>
      </c>
      <c r="I23" s="402">
        <f>IF(ISNUMBER((Tasas!C23-Datos!BE23)/Datos!BE23),(Tasas!C23-Datos!BE23)/Datos!BE23," - ")</f>
        <v>8.0386845204007573E-2</v>
      </c>
      <c r="J23" s="400">
        <f>IF(ISNUMBER((Tasas!D23-Datos!BF23)/Datos!BF23),(Tasas!D23-Datos!BF23)/Datos!BF23," - ")</f>
        <v>-0.24128258451419449</v>
      </c>
      <c r="K23" s="403">
        <f>IF(ISNUMBER((Tasas!E23-Datos!BG23)/Datos!BG23),(Tasas!E23-Datos!BG23)/Datos!BG23," - ")</f>
        <v>5.2136561477046893E-3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-6.8407960199004969E-2</v>
      </c>
      <c r="E31" s="409">
        <f>IF(ISNUMBER(
   IF(J_V="SI",(Datos!J31-Datos!T31)/Datos!T31,(Datos!J31+Datos!Z31-(Datos!T31+Datos!AH31))/(Datos!T31+Datos!AH31))
     ),IF(J_V="SI",(Datos!J31-Datos!T31)/Datos!T31,(Datos!J31+Datos!Z31-(Datos!T31+Datos!AH31))/(Datos!T31+Datos!AH31))," - ")</f>
        <v>7.1272727272727279E-2</v>
      </c>
      <c r="F31" s="409">
        <f>IF(ISNUMBER(
   IF(J_V="SI",(Datos!K31-Datos!U31)/Datos!U31,(Datos!K31+Datos!AA31-(Datos!U31+Datos!AI31))/(Datos!U31+Datos!AI31))
     ),IF(J_V="SI",(Datos!K31-Datos!U31)/Datos!U31,(Datos!K31+Datos!AA31-(Datos!U31+Datos!AI31))/(Datos!U31+Datos!AI31))," - ")</f>
        <v>8.1412103746397693E-2</v>
      </c>
      <c r="G31" s="410">
        <f>IF(ISNUMBER(
   IF(J_V="SI",(Datos!L31-Datos!V31)/Datos!V31,(Datos!L31+Datos!AB31-(Datos!V31+Datos!AJ31))/(Datos!V31+Datos!AJ31))
     ),IF(J_V="SI",(Datos!L31-Datos!V31)/Datos!V31,(Datos!L31+Datos!AB31-(Datos!V31+Datos!AJ31))/(Datos!V31+Datos!AJ31))," - ")</f>
        <v>-1.4686248331108143E-2</v>
      </c>
      <c r="H31" s="411">
        <f>IF(ISNUMBER((Datos!M31-Datos!W31)/Datos!W31),(Datos!M31-Datos!W31)/Datos!W31," - ")</f>
        <v>-1.3986013986013986E-2</v>
      </c>
      <c r="I31" s="408">
        <f>IF(ISNUMBER((Tasas!C31-Datos!BE31)/Datos!BE31),(Tasas!C31-Datos!BE31)/Datos!BE31," - ")</f>
        <v>-8.8863765945088602E-2</v>
      </c>
      <c r="J31" s="409">
        <f>IF(ISNUMBER((Tasas!D31-Datos!BF31)/Datos!BF31),(Tasas!D31-Datos!BF31)/Datos!BF31," - ")</f>
        <v>-0.34807461692205194</v>
      </c>
      <c r="K31" s="410">
        <f>IF(ISNUMBER((Tasas!E31-Datos!BG31)/Datos!BG31),(Tasas!E31-Datos!BG31)/Datos!BG31," - ")</f>
        <v>-5.7034945954647323E-2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0.32237381680798666</v>
      </c>
      <c r="E33" s="303">
        <f t="shared" si="1"/>
        <v>1.9605392362290415</v>
      </c>
      <c r="F33" s="303">
        <f t="shared" si="1"/>
        <v>8.3802875375802138E-2</v>
      </c>
      <c r="G33" s="304">
        <f t="shared" si="1"/>
        <v>0.63428816146421907</v>
      </c>
      <c r="H33" s="310">
        <f t="shared" si="1"/>
        <v>0.3349573179616433</v>
      </c>
      <c r="I33" s="302">
        <f t="shared" si="1"/>
        <v>0.30806477807940091</v>
      </c>
      <c r="J33" s="303">
        <f t="shared" si="1"/>
        <v>0.20054597685489234</v>
      </c>
      <c r="K33" s="304">
        <f t="shared" si="1"/>
        <v>7.7141198281149223E-2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oyIM96rwaKS1Xiti8ozmzKUUDoBLrZ1pF32UxduzZtXIK3VCrjUUXSJ+tOpAFzB02JS0NxQpvWJcIldsSi77w==" saltValue="nvoJtCNkP5jOnZkUD6VjX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